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4032" activeTab="0"/>
  </bookViews>
  <sheets>
    <sheet name="DATOS F 931" sheetId="1" r:id="rId1"/>
    <sheet name="F 931" sheetId="2" r:id="rId2"/>
    <sheet name="YYYY" sheetId="3" r:id="rId3"/>
    <sheet name="XXXX" sheetId="4" r:id="rId4"/>
    <sheet name="LIBRO SUELDOS" sheetId="5" r:id="rId5"/>
  </sheets>
  <externalReferences>
    <externalReference r:id="rId8"/>
    <externalReference r:id="rId9"/>
  </externalReferences>
  <definedNames>
    <definedName name="_xlnm.Print_Area" localSheetId="1">'F 931'!$A$1:$F$76</definedName>
    <definedName name="_xlnm.Print_Area" localSheetId="3">'XXXX'!$A$7:$X$53</definedName>
    <definedName name="_xlnm.Print_Area" localSheetId="2">'YYYY'!$A$7:$X$53</definedName>
  </definedNames>
  <calcPr fullCalcOnLoad="1"/>
</workbook>
</file>

<file path=xl/sharedStrings.xml><?xml version="1.0" encoding="utf-8"?>
<sst xmlns="http://schemas.openxmlformats.org/spreadsheetml/2006/main" count="476" uniqueCount="222">
  <si>
    <t>APORTES Y CONTRIBUCIONES PATRONALES:</t>
  </si>
  <si>
    <t>REG. GRAL:</t>
  </si>
  <si>
    <t>CONCEPTO</t>
  </si>
  <si>
    <t>% APORTE</t>
  </si>
  <si>
    <t>% CONTRIB</t>
  </si>
  <si>
    <t>SDO BRUTO</t>
  </si>
  <si>
    <t>JUBILACIÓN (SIPA)</t>
  </si>
  <si>
    <t>#1</t>
  </si>
  <si>
    <t>&lt; $2.400</t>
  </si>
  <si>
    <t>&gt; $2.400</t>
  </si>
  <si>
    <t>OBRA SOCIAL</t>
  </si>
  <si>
    <t>ANSSAL</t>
  </si>
  <si>
    <t>O.SOCIAL</t>
  </si>
  <si>
    <r>
      <rPr>
        <b/>
        <sz val="10"/>
        <color indexed="10"/>
        <rFont val="Century Gothic"/>
        <family val="2"/>
      </rPr>
      <t>#1</t>
    </r>
    <r>
      <rPr>
        <sz val="10"/>
        <color indexed="8"/>
        <rFont val="Century Gothic"/>
        <family val="2"/>
      </rPr>
      <t xml:space="preserve"> Si el empleador obtiene ingresos superiores a los $48Mill la contribución se eleva al 20%.</t>
    </r>
  </si>
  <si>
    <t>EMPLEADO AGROPECUARIO:</t>
  </si>
  <si>
    <r>
      <rPr>
        <b/>
        <sz val="10"/>
        <color indexed="10"/>
        <rFont val="Century Gothic"/>
        <family val="2"/>
      </rPr>
      <t>#1</t>
    </r>
    <r>
      <rPr>
        <sz val="10"/>
        <color indexed="8"/>
        <rFont val="Century Gothic"/>
        <family val="2"/>
      </rPr>
      <t xml:space="preserve"> La contribución Patronal por empleados agrarios se incrementa en un 2% conforme art. 80 Ley 26.727</t>
    </r>
  </si>
  <si>
    <t>ARMADO FORMULARIO F931</t>
  </si>
  <si>
    <t>JUBILACIÓN</t>
  </si>
  <si>
    <t>INSSJP</t>
  </si>
  <si>
    <t>%</t>
  </si>
  <si>
    <t>SDO BRUTO REMUNERATIVO</t>
  </si>
  <si>
    <t>RURALES</t>
  </si>
  <si>
    <t>ADMIN.</t>
  </si>
  <si>
    <t>TOTAL</t>
  </si>
  <si>
    <t>REM. IMPONIBLE</t>
  </si>
  <si>
    <t>APORTE EMPLEADO</t>
  </si>
  <si>
    <t>CONTRIBUC. EMPLEADOR</t>
  </si>
  <si>
    <t>SEGURIDAD SOCIAL</t>
  </si>
  <si>
    <t>ASIG. FLIAR</t>
  </si>
  <si>
    <t>% ADICIONAL EMPL. AGROP.</t>
  </si>
  <si>
    <t>REMUNERACIÓN IMPONIBLE</t>
  </si>
  <si>
    <t>TOTAL APORTES SEGURIDAD SOCIAL</t>
  </si>
  <si>
    <t>FONDO NACIONAL DE EMPLEO</t>
  </si>
  <si>
    <t>TOTAL CONTRIB. SEGURIDAD SOCIAL</t>
  </si>
  <si>
    <t>[1]</t>
  </si>
  <si>
    <t>[2]</t>
  </si>
  <si>
    <t>[3]</t>
  </si>
  <si>
    <t>TOTAL APORTES OBRA SOCIAL</t>
  </si>
  <si>
    <t>[4]</t>
  </si>
  <si>
    <t>TOTAL CONTRIB. OBRA SOCIAL</t>
  </si>
  <si>
    <t>OJO VER SDOS SEAN MAYORES A $2.400 P/% ANSSAL</t>
  </si>
  <si>
    <t>RENATEA (SÓLO EMPLEADOS AGRARIOS)</t>
  </si>
  <si>
    <t>RENATEA (SEG. SEPELIO)</t>
  </si>
  <si>
    <t>CONTRIB. EMPLEADOR</t>
  </si>
  <si>
    <t>[5]</t>
  </si>
  <si>
    <t>[6]</t>
  </si>
  <si>
    <t>L.R.T.</t>
  </si>
  <si>
    <t xml:space="preserve">% S/A.R.T. </t>
  </si>
  <si>
    <t>SUMA FIJA X EMPLEADO</t>
  </si>
  <si>
    <t>CANT. EMPLEADOS</t>
  </si>
  <si>
    <t>SUMA FIJA X EMPLEADORES</t>
  </si>
  <si>
    <t>TOTAL A.R.T.</t>
  </si>
  <si>
    <t>[7]</t>
  </si>
  <si>
    <t>TOTAL APORTES RENATEA</t>
  </si>
  <si>
    <t>TOTAL CONTRIB. RENATEA</t>
  </si>
  <si>
    <t>TOTAL APORTES SEG. SOCIAL</t>
  </si>
  <si>
    <t>TOTAL CONTRIB. SEG. SOCIAL</t>
  </si>
  <si>
    <t>RESUMEN F 931:</t>
  </si>
  <si>
    <t>Considerando la contrib. Patr. para las empresas con ingresos superiores es del 21%, pasaría al 20,11%, es decir, 22% - 0,89%</t>
  </si>
  <si>
    <t>correspondiente al fondo nacional de empleo que para el caso de empleados agrarios es reemplazada por la contribución</t>
  </si>
  <si>
    <t>al RENATEA.</t>
  </si>
  <si>
    <r>
      <rPr>
        <b/>
        <sz val="10"/>
        <color indexed="8"/>
        <rFont val="Century Gothic"/>
        <family val="2"/>
      </rPr>
      <t>NO</t>
    </r>
    <r>
      <rPr>
        <sz val="10"/>
        <color indexed="8"/>
        <rFont val="Century Gothic"/>
        <family val="2"/>
      </rPr>
      <t xml:space="preserve"> </t>
    </r>
    <r>
      <rPr>
        <b/>
        <sz val="10"/>
        <color indexed="8"/>
        <rFont val="Century Gothic"/>
        <family val="2"/>
      </rPr>
      <t xml:space="preserve">INCLUIR </t>
    </r>
    <r>
      <rPr>
        <sz val="10"/>
        <color indexed="8"/>
        <rFont val="Century Gothic"/>
        <family val="2"/>
      </rPr>
      <t>EMPLEADOS AGRARIOS, SINO CONTRIBUCIÓN AL RENATEA</t>
    </r>
  </si>
  <si>
    <t xml:space="preserve">OJO EN CASO QUE EL SUELDO CONTENGA CONCEPTOS NO REMUNERATIVOS SE </t>
  </si>
  <si>
    <t>DEBE PRESENTAR LA DDJJ DE CONCEPTOS NO REMUNERATIVOS ANTES DEL F931</t>
  </si>
  <si>
    <t>(SE INCLUYE EN EL F931 COMO CONTRIBUCIÓN TAREA DIFERENCIAL)</t>
  </si>
  <si>
    <r>
      <t>UTILIZAR SERVICIO AFIP:</t>
    </r>
    <r>
      <rPr>
        <b/>
        <sz val="10"/>
        <color indexed="8"/>
        <rFont val="Century Gothic"/>
        <family val="2"/>
      </rPr>
      <t xml:space="preserve"> </t>
    </r>
    <r>
      <rPr>
        <sz val="10"/>
        <color indexed="8"/>
        <rFont val="Century Gothic"/>
        <family val="2"/>
      </rPr>
      <t>DECLARACIÓN EN LÍNEA</t>
    </r>
  </si>
  <si>
    <t>DEBE</t>
  </si>
  <si>
    <t>HABER</t>
  </si>
  <si>
    <t>CARGAS SOCIALES</t>
  </si>
  <si>
    <t>ART</t>
  </si>
  <si>
    <t>DEBITO EN COOP</t>
  </si>
  <si>
    <t>CONTROL</t>
  </si>
  <si>
    <t>SEG SOCIAL A PAGAR</t>
  </si>
  <si>
    <t>OBRA SOCIAL A PAGAR</t>
  </si>
  <si>
    <t>ART A PAGAR</t>
  </si>
  <si>
    <t>RENATEA A PAGAR</t>
  </si>
  <si>
    <t>SUELDOS A PAGAR</t>
  </si>
  <si>
    <t>SUELDOS Y JORNALES</t>
  </si>
  <si>
    <t>Asientos Contables</t>
  </si>
  <si>
    <t>Asiento nº</t>
  </si>
  <si>
    <t>SINDICATO</t>
  </si>
  <si>
    <t>UATRE A PAGAR</t>
  </si>
  <si>
    <t>MNI</t>
  </si>
  <si>
    <t>Pago Sueldos (s/ Extracto Bancario)</t>
  </si>
  <si>
    <t>BCO PCIA</t>
  </si>
  <si>
    <t>MODIFICAR MES Y AÑO LIQUIDACIÓN</t>
  </si>
  <si>
    <t>#2</t>
  </si>
  <si>
    <t>COMPLETAR DATOS DEPÓSITO APORTE JUBILATORIO SOLO FECHA Y BANCO</t>
  </si>
  <si>
    <t>#3</t>
  </si>
  <si>
    <t>OJO!! SI EMPLEADO AFILIADO AL SINDICATO U.A.T.R.E, ADEMAS DEL APORTE VOLUNTARIO DE DEBE RETENER EL APORTE DEL 2% AL SINDICATO.</t>
  </si>
  <si>
    <t>#4</t>
  </si>
  <si>
    <t>SI TRABAJO FERIADOS COMPLETAR CANTIDAD:</t>
  </si>
  <si>
    <t>#5</t>
  </si>
  <si>
    <t>VER SI TRABAJO el 8/10 DIA EMPLEADO RURAL, SI TRABAJÓ SE PAGA DOBLE. SI NO LO TRABAJO DIVIDIDO 25 (CONFIRMAR).</t>
  </si>
  <si>
    <t>RECIBO DE HABERES</t>
  </si>
  <si>
    <t>ORIGINAL</t>
  </si>
  <si>
    <t>DUPLICADO</t>
  </si>
  <si>
    <t>RAZÓN SOCIAL:</t>
  </si>
  <si>
    <t>CUIT N°:</t>
  </si>
  <si>
    <t>DOMICILIO:</t>
  </si>
  <si>
    <t>APELLIDO Y NOMBRE</t>
  </si>
  <si>
    <t>N° LEGAJO</t>
  </si>
  <si>
    <t>CUIL N°</t>
  </si>
  <si>
    <t>CATEGORIA</t>
  </si>
  <si>
    <t>ANTIGÜEDAD</t>
  </si>
  <si>
    <t>PEÓN GENERAL</t>
  </si>
  <si>
    <t>CONTRATACIÓN</t>
  </si>
  <si>
    <t>TRABAJO PERMANENTE PRESTACIÓN CONTÍNUA LEY 26.727</t>
  </si>
  <si>
    <t>FECHA INGRESO</t>
  </si>
  <si>
    <t>LIQUIDACION</t>
  </si>
  <si>
    <t>DEPÓSITO APORTE JUBILATORIO</t>
  </si>
  <si>
    <t>DIA</t>
  </si>
  <si>
    <t>MES</t>
  </si>
  <si>
    <t>AÑO</t>
  </si>
  <si>
    <t>TIPO</t>
  </si>
  <si>
    <t>PERIODO</t>
  </si>
  <si>
    <t>FECHA</t>
  </si>
  <si>
    <t>BANCO</t>
  </si>
  <si>
    <t>MENSUAL</t>
  </si>
  <si>
    <t>PROVINCIA</t>
  </si>
  <si>
    <t>DETALLE</t>
  </si>
  <si>
    <t>REMUNERATIVO</t>
  </si>
  <si>
    <t>NO REMUNERATIVO</t>
  </si>
  <si>
    <t>DEDUCCIONES</t>
  </si>
  <si>
    <t>SUELDO BÁSICO</t>
  </si>
  <si>
    <t>LEY 19.032</t>
  </si>
  <si>
    <t xml:space="preserve">OBRA SOCIAL </t>
  </si>
  <si>
    <t>SINDICATO (U.A.T.R.E.)</t>
  </si>
  <si>
    <t>SEGURO DE SEPELIO</t>
  </si>
  <si>
    <t>LUGAR Y FECHA DE PAGO</t>
  </si>
  <si>
    <t>TOT. REMUN.</t>
  </si>
  <si>
    <t>TOT. NO REMUN.</t>
  </si>
  <si>
    <t>BANCO ACREDITACIÓN</t>
  </si>
  <si>
    <t>CUENTA</t>
  </si>
  <si>
    <t>TOTAL BRUTO</t>
  </si>
  <si>
    <t>TOTAL NETO</t>
  </si>
  <si>
    <t>BANCO PROVINCIA</t>
  </si>
  <si>
    <t>SON PESOS:</t>
  </si>
  <si>
    <t xml:space="preserve">El presente es duplicado del recibo original que obra en </t>
  </si>
  <si>
    <t>nuestro poder firmado por el empleado.</t>
  </si>
  <si>
    <t>FIRMA EMPLEADO</t>
  </si>
  <si>
    <t>FIRMA DEL EMPLEADOR</t>
  </si>
  <si>
    <t>ENCARGADO</t>
  </si>
  <si>
    <t>C.U.I.T.:</t>
  </si>
  <si>
    <t>SERV. DE COSECHA</t>
  </si>
  <si>
    <t>Hojas móviles en reemplazo del libro especial Ley 20744 T.O. (art. 52)</t>
  </si>
  <si>
    <t xml:space="preserve">  Legajo</t>
  </si>
  <si>
    <t>Apellido y Nombres</t>
  </si>
  <si>
    <t xml:space="preserve">  Sección</t>
  </si>
  <si>
    <t>Calif. Prof.</t>
  </si>
  <si>
    <t>Ingreso</t>
  </si>
  <si>
    <t xml:space="preserve">Egreso </t>
  </si>
  <si>
    <t>Categoría</t>
  </si>
  <si>
    <t>Remun.</t>
  </si>
  <si>
    <t>Lugar de Trabajo</t>
  </si>
  <si>
    <t>Contratación</t>
  </si>
  <si>
    <t>Reg. Previsional</t>
  </si>
  <si>
    <t>Mensual/Jornal</t>
  </si>
  <si>
    <t>Fecha Nac.</t>
  </si>
  <si>
    <t>Estado Civil</t>
  </si>
  <si>
    <t>Domicilio</t>
  </si>
  <si>
    <t xml:space="preserve">   Provincia</t>
  </si>
  <si>
    <t>C.U.I.L.</t>
  </si>
  <si>
    <t xml:space="preserve">   Documento</t>
  </si>
  <si>
    <t xml:space="preserve">   Código</t>
  </si>
  <si>
    <t xml:space="preserve">     Concepto</t>
  </si>
  <si>
    <t xml:space="preserve">             Unidades</t>
  </si>
  <si>
    <t xml:space="preserve">      Importe</t>
  </si>
  <si>
    <t xml:space="preserve">           Código</t>
  </si>
  <si>
    <t xml:space="preserve">    Concepto</t>
  </si>
  <si>
    <t>Unidades</t>
  </si>
  <si>
    <t>Importe</t>
  </si>
  <si>
    <t>MANTENIMIENTO</t>
  </si>
  <si>
    <t>Buenos Aires</t>
  </si>
  <si>
    <t>A tiempo completo: Indet</t>
  </si>
  <si>
    <t>REPARTO</t>
  </si>
  <si>
    <t>Mensual</t>
  </si>
  <si>
    <t xml:space="preserve">  Casado</t>
  </si>
  <si>
    <t xml:space="preserve">   Buenos Aires</t>
  </si>
  <si>
    <t>0101</t>
  </si>
  <si>
    <t xml:space="preserve">             SUELDO</t>
  </si>
  <si>
    <t>0102</t>
  </si>
  <si>
    <t>ANTIGUEDAD</t>
  </si>
  <si>
    <t>0129</t>
  </si>
  <si>
    <t>0401</t>
  </si>
  <si>
    <t>JUBILACION</t>
  </si>
  <si>
    <t>0409</t>
  </si>
  <si>
    <t xml:space="preserve">             OSPAT</t>
  </si>
  <si>
    <t>0402</t>
  </si>
  <si>
    <t>LEY 19032</t>
  </si>
  <si>
    <t>0421</t>
  </si>
  <si>
    <t xml:space="preserve">             UATRE CUOTA SINDICAL</t>
  </si>
  <si>
    <t>0414</t>
  </si>
  <si>
    <t>SEG. DE SEPELIO</t>
  </si>
  <si>
    <t>Haberes Remunerativos:</t>
  </si>
  <si>
    <t>Haberes No Remunerativos:</t>
  </si>
  <si>
    <t xml:space="preserve">          Retenciones y Descuentos:</t>
  </si>
  <si>
    <t>NETO</t>
  </si>
  <si>
    <t xml:space="preserve">  PEÓN GENERAL</t>
  </si>
  <si>
    <t>Soltero</t>
  </si>
  <si>
    <t xml:space="preserve">     Tomo 1 - Folio 154</t>
  </si>
  <si>
    <t>Detracción</t>
  </si>
  <si>
    <t>NO REMUN</t>
  </si>
  <si>
    <t>TOTAL REMUN</t>
  </si>
  <si>
    <t>CUARENTA Y NUEVE MIL CUATROCIENTOS VEINTICINCO CON 79/100</t>
  </si>
  <si>
    <t>SETENTA Y SIETE MIL DOSCIENTOS CINCUENTA Y CINCO CON 65/100</t>
  </si>
  <si>
    <t xml:space="preserve">Asiento nº </t>
  </si>
  <si>
    <t>Devengam. Sueldos y Cargas Soc MAYO -22</t>
  </si>
  <si>
    <t>Pago Cargas Soc. (F. 931 MAYO  22)</t>
  </si>
  <si>
    <t>Pago UATRE (MAYO-22)</t>
  </si>
  <si>
    <t>AAAAA</t>
  </si>
  <si>
    <t>XXXXXX - CHACABUCO - Buenos Aires</t>
  </si>
  <si>
    <r>
      <t xml:space="preserve">Período: </t>
    </r>
    <r>
      <rPr>
        <sz val="12"/>
        <color indexed="8"/>
        <rFont val="Arial"/>
        <family val="2"/>
      </rPr>
      <t>MAYO 2022</t>
    </r>
  </si>
  <si>
    <t>XXXXXX</t>
  </si>
  <si>
    <t>YYYYY</t>
  </si>
  <si>
    <t>Documento único XXXXXXXX</t>
  </si>
  <si>
    <t xml:space="preserve">           XX-XXXXXXXX-X</t>
  </si>
  <si>
    <t>XXXXXXXXX</t>
  </si>
  <si>
    <t>YYYYYY</t>
  </si>
  <si>
    <t>XXXXXXXX</t>
  </si>
  <si>
    <t>AAAAAAA</t>
  </si>
  <si>
    <t>XXXXXXX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</si>
</sst>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$-2C0A]\ #,##0.00"/>
    <numFmt numFmtId="173" formatCode="#,##0.00_ ;[Red]\-#,##0.00\ "/>
    <numFmt numFmtId="174" formatCode="mm/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entury Gothic"/>
      <family val="2"/>
    </font>
    <font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i/>
      <u val="single"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u val="single"/>
      <sz val="10"/>
      <color indexed="10"/>
      <name val="Century Gothic"/>
      <family val="2"/>
    </font>
    <font>
      <sz val="10"/>
      <color indexed="9"/>
      <name val="Century Gothic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u val="single"/>
      <sz val="10"/>
      <color theme="1"/>
      <name val="Century Gothic"/>
      <family val="2"/>
    </font>
    <font>
      <b/>
      <i/>
      <u val="single"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u val="single"/>
      <sz val="10"/>
      <color rgb="FFFF0000"/>
      <name val="Century Gothic"/>
      <family val="2"/>
    </font>
    <font>
      <sz val="10"/>
      <color theme="0"/>
      <name val="Century Gothic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dashed">
        <color indexed="8"/>
      </right>
      <top style="thin">
        <color indexed="8"/>
      </top>
      <bottom/>
    </border>
    <border>
      <left/>
      <right style="dashed">
        <color indexed="8"/>
      </right>
      <top/>
      <bottom/>
    </border>
    <border>
      <left/>
      <right style="dashed">
        <color theme="1"/>
      </right>
      <top/>
      <bottom/>
    </border>
    <border>
      <left/>
      <right style="dashed">
        <color indexed="8"/>
      </right>
      <top/>
      <bottom style="thin">
        <color indexed="8"/>
      </bottom>
    </border>
    <border>
      <left/>
      <right/>
      <top/>
      <bottom style="mediumDashed"/>
    </border>
    <border>
      <left/>
      <right/>
      <top/>
      <bottom style="mediumDash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Dashed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9" fontId="55" fillId="33" borderId="13" xfId="0" applyNumberFormat="1" applyFont="1" applyFill="1" applyBorder="1" applyAlignment="1">
      <alignment/>
    </xf>
    <xf numFmtId="10" fontId="55" fillId="33" borderId="11" xfId="0" applyNumberFormat="1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43" fontId="55" fillId="33" borderId="0" xfId="47" applyFont="1" applyFill="1" applyBorder="1" applyAlignment="1">
      <alignment horizontal="right"/>
    </xf>
    <xf numFmtId="10" fontId="55" fillId="33" borderId="10" xfId="0" applyNumberFormat="1" applyFont="1" applyFill="1" applyBorder="1" applyAlignment="1">
      <alignment/>
    </xf>
    <xf numFmtId="10" fontId="55" fillId="33" borderId="11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8" fontId="55" fillId="33" borderId="0" xfId="0" applyNumberFormat="1" applyFont="1" applyFill="1" applyAlignment="1">
      <alignment/>
    </xf>
    <xf numFmtId="0" fontId="60" fillId="33" borderId="12" xfId="0" applyFont="1" applyFill="1" applyBorder="1" applyAlignment="1">
      <alignment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8" fontId="56" fillId="33" borderId="14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0" fontId="55" fillId="33" borderId="13" xfId="0" applyFont="1" applyFill="1" applyBorder="1" applyAlignment="1">
      <alignment horizontal="center"/>
    </xf>
    <xf numFmtId="10" fontId="55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/>
    </xf>
    <xf numFmtId="8" fontId="55" fillId="33" borderId="0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/>
    </xf>
    <xf numFmtId="8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8" fontId="56" fillId="9" borderId="14" xfId="0" applyNumberFormat="1" applyFont="1" applyFill="1" applyBorder="1" applyAlignment="1">
      <alignment horizontal="center"/>
    </xf>
    <xf numFmtId="8" fontId="55" fillId="33" borderId="0" xfId="0" applyNumberFormat="1" applyFont="1" applyFill="1" applyAlignment="1">
      <alignment horizontal="center"/>
    </xf>
    <xf numFmtId="0" fontId="60" fillId="33" borderId="0" xfId="0" applyFont="1" applyFill="1" applyBorder="1" applyAlignment="1">
      <alignment horizontal="center" vertical="center" wrapText="1"/>
    </xf>
    <xf numFmtId="8" fontId="56" fillId="33" borderId="0" xfId="0" applyNumberFormat="1" applyFont="1" applyFill="1" applyBorder="1" applyAlignment="1">
      <alignment/>
    </xf>
    <xf numFmtId="10" fontId="55" fillId="33" borderId="0" xfId="0" applyNumberFormat="1" applyFont="1" applyFill="1" applyBorder="1" applyAlignment="1">
      <alignment horizontal="center"/>
    </xf>
    <xf numFmtId="8" fontId="55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7" fillId="33" borderId="0" xfId="0" applyFont="1" applyFill="1" applyAlignment="1">
      <alignment horizontal="left"/>
    </xf>
    <xf numFmtId="8" fontId="55" fillId="35" borderId="0" xfId="0" applyNumberFormat="1" applyFont="1" applyFill="1" applyAlignment="1">
      <alignment horizontal="center"/>
    </xf>
    <xf numFmtId="0" fontId="55" fillId="35" borderId="0" xfId="0" applyFont="1" applyFill="1" applyAlignment="1">
      <alignment/>
    </xf>
    <xf numFmtId="8" fontId="55" fillId="33" borderId="0" xfId="0" applyNumberFormat="1" applyFont="1" applyFill="1" applyAlignment="1">
      <alignment horizontal="right"/>
    </xf>
    <xf numFmtId="8" fontId="56" fillId="33" borderId="14" xfId="0" applyNumberFormat="1" applyFont="1" applyFill="1" applyBorder="1" applyAlignment="1">
      <alignment horizontal="right"/>
    </xf>
    <xf numFmtId="0" fontId="55" fillId="33" borderId="0" xfId="0" applyFont="1" applyFill="1" applyAlignment="1">
      <alignment horizontal="left"/>
    </xf>
    <xf numFmtId="10" fontId="55" fillId="33" borderId="0" xfId="0" applyNumberFormat="1" applyFont="1" applyFill="1" applyAlignment="1">
      <alignment/>
    </xf>
    <xf numFmtId="0" fontId="56" fillId="35" borderId="16" xfId="0" applyFont="1" applyFill="1" applyBorder="1" applyAlignment="1">
      <alignment/>
    </xf>
    <xf numFmtId="0" fontId="56" fillId="35" borderId="17" xfId="0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0" fontId="56" fillId="35" borderId="20" xfId="0" applyFont="1" applyFill="1" applyBorder="1" applyAlignment="1">
      <alignment/>
    </xf>
    <xf numFmtId="0" fontId="56" fillId="35" borderId="21" xfId="0" applyFont="1" applyFill="1" applyBorder="1" applyAlignment="1">
      <alignment/>
    </xf>
    <xf numFmtId="172" fontId="55" fillId="33" borderId="11" xfId="0" applyNumberFormat="1" applyFont="1" applyFill="1" applyBorder="1" applyAlignment="1">
      <alignment/>
    </xf>
    <xf numFmtId="172" fontId="55" fillId="33" borderId="15" xfId="0" applyNumberFormat="1" applyFont="1" applyFill="1" applyBorder="1" applyAlignment="1">
      <alignment/>
    </xf>
    <xf numFmtId="8" fontId="55" fillId="33" borderId="0" xfId="47" applyNumberFormat="1" applyFont="1" applyFill="1" applyAlignment="1">
      <alignment horizontal="right"/>
    </xf>
    <xf numFmtId="10" fontId="55" fillId="35" borderId="0" xfId="0" applyNumberFormat="1" applyFont="1" applyFill="1" applyAlignment="1">
      <alignment horizontal="center"/>
    </xf>
    <xf numFmtId="8" fontId="56" fillId="33" borderId="0" xfId="0" applyNumberFormat="1" applyFont="1" applyFill="1" applyBorder="1" applyAlignment="1">
      <alignment horizontal="left"/>
    </xf>
    <xf numFmtId="172" fontId="55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/>
    </xf>
    <xf numFmtId="4" fontId="55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8" fontId="55" fillId="33" borderId="15" xfId="0" applyNumberFormat="1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8" fontId="55" fillId="33" borderId="22" xfId="0" applyNumberFormat="1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173" fontId="55" fillId="33" borderId="0" xfId="0" applyNumberFormat="1" applyFont="1" applyFill="1" applyAlignment="1">
      <alignment/>
    </xf>
    <xf numFmtId="8" fontId="55" fillId="33" borderId="23" xfId="0" applyNumberFormat="1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62" fillId="33" borderId="0" xfId="0" applyFont="1" applyFill="1" applyAlignment="1">
      <alignment/>
    </xf>
    <xf numFmtId="10" fontId="62" fillId="33" borderId="0" xfId="0" applyNumberFormat="1" applyFont="1" applyFill="1" applyBorder="1" applyAlignment="1">
      <alignment horizontal="center"/>
    </xf>
    <xf numFmtId="0" fontId="55" fillId="33" borderId="17" xfId="0" applyFont="1" applyFill="1" applyBorder="1" applyAlignment="1">
      <alignment/>
    </xf>
    <xf numFmtId="0" fontId="55" fillId="33" borderId="0" xfId="0" applyFont="1" applyFill="1" applyAlignment="1">
      <alignment horizontal="right"/>
    </xf>
    <xf numFmtId="43" fontId="55" fillId="33" borderId="0" xfId="47" applyFont="1" applyFill="1" applyAlignment="1">
      <alignment horizontal="center"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0" fontId="5" fillId="37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36" borderId="20" xfId="0" applyFont="1" applyFill="1" applyBorder="1" applyAlignment="1">
      <alignment horizontal="right"/>
    </xf>
    <xf numFmtId="0" fontId="5" fillId="36" borderId="20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" fillId="36" borderId="24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" fillId="38" borderId="3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8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32" xfId="0" applyFont="1" applyFill="1" applyBorder="1" applyAlignment="1">
      <alignment horizontal="left"/>
    </xf>
    <xf numFmtId="0" fontId="5" fillId="38" borderId="33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31" xfId="0" applyFont="1" applyFill="1" applyBorder="1" applyAlignment="1">
      <alignment horizontal="center"/>
    </xf>
    <xf numFmtId="174" fontId="5" fillId="36" borderId="31" xfId="0" applyNumberFormat="1" applyFont="1" applyFill="1" applyBorder="1" applyAlignment="1">
      <alignment horizontal="center"/>
    </xf>
    <xf numFmtId="14" fontId="5" fillId="36" borderId="31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5" fillId="36" borderId="34" xfId="0" applyFont="1" applyFill="1" applyBorder="1" applyAlignment="1">
      <alignment/>
    </xf>
    <xf numFmtId="43" fontId="5" fillId="36" borderId="34" xfId="49" applyFont="1" applyFill="1" applyBorder="1" applyAlignment="1">
      <alignment/>
    </xf>
    <xf numFmtId="43" fontId="5" fillId="36" borderId="35" xfId="49" applyFont="1" applyFill="1" applyBorder="1" applyAlignment="1">
      <alignment/>
    </xf>
    <xf numFmtId="0" fontId="5" fillId="36" borderId="35" xfId="0" applyFont="1" applyFill="1" applyBorder="1" applyAlignment="1">
      <alignment/>
    </xf>
    <xf numFmtId="43" fontId="63" fillId="0" borderId="36" xfId="49" applyFont="1" applyFill="1" applyBorder="1" applyAlignment="1">
      <alignment/>
    </xf>
    <xf numFmtId="10" fontId="5" fillId="36" borderId="35" xfId="0" applyNumberFormat="1" applyFont="1" applyFill="1" applyBorder="1" applyAlignment="1">
      <alignment/>
    </xf>
    <xf numFmtId="0" fontId="5" fillId="36" borderId="37" xfId="0" applyFont="1" applyFill="1" applyBorder="1" applyAlignment="1">
      <alignment/>
    </xf>
    <xf numFmtId="43" fontId="5" fillId="36" borderId="37" xfId="49" applyFont="1" applyFill="1" applyBorder="1" applyAlignment="1">
      <alignment/>
    </xf>
    <xf numFmtId="43" fontId="5" fillId="36" borderId="10" xfId="49" applyFont="1" applyFill="1" applyBorder="1" applyAlignment="1">
      <alignment/>
    </xf>
    <xf numFmtId="43" fontId="5" fillId="36" borderId="12" xfId="49" applyFont="1" applyFill="1" applyBorder="1" applyAlignment="1">
      <alignment/>
    </xf>
    <xf numFmtId="0" fontId="5" fillId="36" borderId="12" xfId="0" applyFont="1" applyFill="1" applyBorder="1" applyAlignment="1">
      <alignment/>
    </xf>
    <xf numFmtId="43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43" fontId="5" fillId="36" borderId="31" xfId="49" applyFont="1" applyFill="1" applyBorder="1" applyAlignment="1">
      <alignment horizontal="center"/>
    </xf>
    <xf numFmtId="43" fontId="5" fillId="36" borderId="0" xfId="0" applyNumberFormat="1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9" fillId="36" borderId="0" xfId="0" applyFont="1" applyFill="1" applyAlignment="1">
      <alignment/>
    </xf>
    <xf numFmtId="0" fontId="5" fillId="36" borderId="38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9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36" borderId="41" xfId="0" applyFont="1" applyFill="1" applyBorder="1" applyAlignment="1">
      <alignment/>
    </xf>
    <xf numFmtId="4" fontId="5" fillId="36" borderId="35" xfId="49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8" borderId="42" xfId="0" applyFont="1" applyFill="1" applyBorder="1" applyAlignment="1">
      <alignment horizontal="left"/>
    </xf>
    <xf numFmtId="0" fontId="5" fillId="38" borderId="43" xfId="0" applyFont="1" applyFill="1" applyBorder="1" applyAlignment="1">
      <alignment horizontal="left"/>
    </xf>
    <xf numFmtId="0" fontId="5" fillId="38" borderId="33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left"/>
    </xf>
    <xf numFmtId="0" fontId="5" fillId="36" borderId="44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4" fontId="64" fillId="33" borderId="0" xfId="0" applyNumberFormat="1" applyFont="1" applyFill="1" applyBorder="1" applyAlignment="1">
      <alignment/>
    </xf>
    <xf numFmtId="172" fontId="55" fillId="33" borderId="22" xfId="0" applyNumberFormat="1" applyFont="1" applyFill="1" applyBorder="1" applyAlignment="1">
      <alignment/>
    </xf>
    <xf numFmtId="0" fontId="55" fillId="33" borderId="15" xfId="0" applyFont="1" applyFill="1" applyBorder="1" applyAlignment="1">
      <alignment horizontal="center"/>
    </xf>
    <xf numFmtId="4" fontId="55" fillId="33" borderId="25" xfId="0" applyNumberFormat="1" applyFont="1" applyFill="1" applyBorder="1" applyAlignment="1">
      <alignment/>
    </xf>
    <xf numFmtId="8" fontId="55" fillId="35" borderId="22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right"/>
    </xf>
    <xf numFmtId="0" fontId="64" fillId="33" borderId="20" xfId="0" applyFont="1" applyFill="1" applyBorder="1" applyAlignment="1">
      <alignment/>
    </xf>
    <xf numFmtId="0" fontId="64" fillId="33" borderId="2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67" fillId="33" borderId="45" xfId="0" applyFont="1" applyFill="1" applyBorder="1" applyAlignment="1">
      <alignment/>
    </xf>
    <xf numFmtId="0" fontId="66" fillId="33" borderId="45" xfId="0" applyFont="1" applyFill="1" applyBorder="1" applyAlignment="1">
      <alignment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45" xfId="0" applyFont="1" applyFill="1" applyBorder="1" applyAlignment="1">
      <alignment vertical="center"/>
    </xf>
    <xf numFmtId="0" fontId="66" fillId="33" borderId="45" xfId="0" applyFont="1" applyFill="1" applyBorder="1" applyAlignment="1">
      <alignment vertical="center"/>
    </xf>
    <xf numFmtId="0" fontId="67" fillId="33" borderId="46" xfId="0" applyFont="1" applyFill="1" applyBorder="1" applyAlignment="1">
      <alignment vertical="center"/>
    </xf>
    <xf numFmtId="0" fontId="66" fillId="33" borderId="46" xfId="0" applyFont="1" applyFill="1" applyBorder="1" applyAlignment="1">
      <alignment vertical="center"/>
    </xf>
    <xf numFmtId="0" fontId="67" fillId="33" borderId="46" xfId="0" applyFont="1" applyFill="1" applyBorder="1" applyAlignment="1">
      <alignment horizontal="center" vertical="center"/>
    </xf>
    <xf numFmtId="14" fontId="64" fillId="33" borderId="0" xfId="0" applyNumberFormat="1" applyFont="1" applyFill="1" applyAlignment="1">
      <alignment/>
    </xf>
    <xf numFmtId="4" fontId="64" fillId="33" borderId="0" xfId="0" applyNumberFormat="1" applyFont="1" applyFill="1" applyAlignment="1">
      <alignment/>
    </xf>
    <xf numFmtId="0" fontId="64" fillId="33" borderId="0" xfId="0" applyFont="1" applyFill="1" applyAlignment="1" quotePrefix="1">
      <alignment horizontal="center"/>
    </xf>
    <xf numFmtId="0" fontId="64" fillId="33" borderId="0" xfId="0" applyFont="1" applyFill="1" applyAlignment="1" quotePrefix="1">
      <alignment horizontal="left"/>
    </xf>
    <xf numFmtId="4" fontId="64" fillId="33" borderId="20" xfId="0" applyNumberFormat="1" applyFont="1" applyFill="1" applyBorder="1" applyAlignment="1">
      <alignment/>
    </xf>
    <xf numFmtId="4" fontId="64" fillId="33" borderId="20" xfId="0" applyNumberFormat="1" applyFont="1" applyFill="1" applyBorder="1" applyAlignment="1">
      <alignment horizontal="right"/>
    </xf>
    <xf numFmtId="14" fontId="64" fillId="33" borderId="0" xfId="0" applyNumberFormat="1" applyFont="1" applyFill="1" applyAlignment="1">
      <alignment horizontal="right"/>
    </xf>
    <xf numFmtId="0" fontId="64" fillId="33" borderId="45" xfId="0" applyFont="1" applyFill="1" applyBorder="1" applyAlignment="1">
      <alignment/>
    </xf>
    <xf numFmtId="0" fontId="68" fillId="33" borderId="0" xfId="0" applyFont="1" applyFill="1" applyAlignment="1">
      <alignment horizontal="left"/>
    </xf>
    <xf numFmtId="8" fontId="59" fillId="33" borderId="0" xfId="0" applyNumberFormat="1" applyFont="1" applyFill="1" applyBorder="1" applyAlignment="1">
      <alignment horizontal="center"/>
    </xf>
    <xf numFmtId="43" fontId="55" fillId="33" borderId="0" xfId="47" applyFont="1" applyFill="1" applyAlignment="1">
      <alignment/>
    </xf>
    <xf numFmtId="171" fontId="55" fillId="33" borderId="22" xfId="0" applyNumberFormat="1" applyFont="1" applyFill="1" applyBorder="1" applyAlignment="1">
      <alignment/>
    </xf>
    <xf numFmtId="171" fontId="55" fillId="33" borderId="23" xfId="0" applyNumberFormat="1" applyFont="1" applyFill="1" applyBorder="1" applyAlignment="1">
      <alignment/>
    </xf>
    <xf numFmtId="171" fontId="55" fillId="33" borderId="0" xfId="0" applyNumberFormat="1" applyFont="1" applyFill="1" applyAlignment="1">
      <alignment horizontal="center"/>
    </xf>
    <xf numFmtId="0" fontId="5" fillId="35" borderId="31" xfId="0" applyNumberFormat="1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174" fontId="5" fillId="35" borderId="31" xfId="0" applyNumberFormat="1" applyFont="1" applyFill="1" applyBorder="1" applyAlignment="1">
      <alignment horizontal="center"/>
    </xf>
    <xf numFmtId="14" fontId="5" fillId="35" borderId="31" xfId="0" applyNumberFormat="1" applyFont="1" applyFill="1" applyBorder="1" applyAlignment="1">
      <alignment horizontal="center"/>
    </xf>
    <xf numFmtId="0" fontId="64" fillId="35" borderId="0" xfId="0" applyFont="1" applyFill="1" applyAlignment="1">
      <alignment/>
    </xf>
    <xf numFmtId="14" fontId="64" fillId="35" borderId="0" xfId="0" applyNumberFormat="1" applyFont="1" applyFill="1" applyAlignment="1">
      <alignment/>
    </xf>
    <xf numFmtId="0" fontId="64" fillId="35" borderId="0" xfId="0" applyFont="1" applyFill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0" fillId="35" borderId="11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left"/>
    </xf>
    <xf numFmtId="0" fontId="5" fillId="36" borderId="47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14" fontId="5" fillId="35" borderId="12" xfId="0" applyNumberFormat="1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14" fontId="5" fillId="36" borderId="12" xfId="0" applyNumberFormat="1" applyFont="1" applyFill="1" applyBorder="1" applyAlignment="1">
      <alignment horizontal="center"/>
    </xf>
    <xf numFmtId="0" fontId="5" fillId="36" borderId="53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left"/>
    </xf>
    <xf numFmtId="0" fontId="5" fillId="38" borderId="43" xfId="0" applyFont="1" applyFill="1" applyBorder="1" applyAlignment="1">
      <alignment horizontal="left"/>
    </xf>
    <xf numFmtId="0" fontId="5" fillId="38" borderId="3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8" borderId="54" xfId="0" applyFont="1" applyFill="1" applyBorder="1" applyAlignment="1">
      <alignment horizontal="center"/>
    </xf>
    <xf numFmtId="0" fontId="5" fillId="38" borderId="55" xfId="0" applyFont="1" applyFill="1" applyBorder="1" applyAlignment="1">
      <alignment horizontal="center"/>
    </xf>
    <xf numFmtId="0" fontId="5" fillId="38" borderId="56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4</xdr:row>
      <xdr:rowOff>133350</xdr:rowOff>
    </xdr:from>
    <xdr:to>
      <xdr:col>12</xdr:col>
      <xdr:colOff>95250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95"/>
        <a:stretch>
          <a:fillRect/>
        </a:stretch>
      </xdr:blipFill>
      <xdr:spPr>
        <a:xfrm>
          <a:off x="6057900" y="809625"/>
          <a:ext cx="258127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638175</xdr:colOff>
      <xdr:row>7</xdr:row>
      <xdr:rowOff>19050</xdr:rowOff>
    </xdr:from>
    <xdr:to>
      <xdr:col>1</xdr:col>
      <xdr:colOff>838200</xdr:colOff>
      <xdr:row>8</xdr:row>
      <xdr:rowOff>152400</xdr:rowOff>
    </xdr:to>
    <xdr:sp>
      <xdr:nvSpPr>
        <xdr:cNvPr id="2" name="Right Arrow 2"/>
        <xdr:cNvSpPr>
          <a:spLocks/>
        </xdr:cNvSpPr>
      </xdr:nvSpPr>
      <xdr:spPr>
        <a:xfrm rot="5400000">
          <a:off x="1838325" y="1209675"/>
          <a:ext cx="200025" cy="304800"/>
        </a:xfrm>
        <a:prstGeom prst="rightArrow">
          <a:avLst>
            <a:gd name="adj" fmla="val 14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171450</xdr:rowOff>
    </xdr:from>
    <xdr:to>
      <xdr:col>3</xdr:col>
      <xdr:colOff>390525</xdr:colOff>
      <xdr:row>7</xdr:row>
      <xdr:rowOff>9525</xdr:rowOff>
    </xdr:to>
    <xdr:sp>
      <xdr:nvSpPr>
        <xdr:cNvPr id="3" name="Right Arrow 3"/>
        <xdr:cNvSpPr>
          <a:spLocks/>
        </xdr:cNvSpPr>
      </xdr:nvSpPr>
      <xdr:spPr>
        <a:xfrm>
          <a:off x="2867025" y="1019175"/>
          <a:ext cx="352425" cy="180975"/>
        </a:xfrm>
        <a:prstGeom prst="rightArrow">
          <a:avLst>
            <a:gd name="adj" fmla="val 1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6</xdr:row>
      <xdr:rowOff>19050</xdr:rowOff>
    </xdr:from>
    <xdr:to>
      <xdr:col>2</xdr:col>
      <xdr:colOff>9525</xdr:colOff>
      <xdr:row>6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1838325" y="1038225"/>
          <a:ext cx="209550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3</xdr:col>
      <xdr:colOff>0</xdr:colOff>
      <xdr:row>6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419350" y="1028700"/>
          <a:ext cx="400050" cy="1619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23</xdr:row>
      <xdr:rowOff>19050</xdr:rowOff>
    </xdr:from>
    <xdr:to>
      <xdr:col>1</xdr:col>
      <xdr:colOff>838200</xdr:colOff>
      <xdr:row>24</xdr:row>
      <xdr:rowOff>171450</xdr:rowOff>
    </xdr:to>
    <xdr:sp>
      <xdr:nvSpPr>
        <xdr:cNvPr id="6" name="Right Arrow 6"/>
        <xdr:cNvSpPr>
          <a:spLocks/>
        </xdr:cNvSpPr>
      </xdr:nvSpPr>
      <xdr:spPr>
        <a:xfrm rot="5400000">
          <a:off x="1838325" y="3924300"/>
          <a:ext cx="200025" cy="295275"/>
        </a:xfrm>
        <a:prstGeom prst="rightArrow">
          <a:avLst>
            <a:gd name="adj" fmla="val 14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161925</xdr:rowOff>
    </xdr:from>
    <xdr:to>
      <xdr:col>3</xdr:col>
      <xdr:colOff>390525</xdr:colOff>
      <xdr:row>23</xdr:row>
      <xdr:rowOff>9525</xdr:rowOff>
    </xdr:to>
    <xdr:sp>
      <xdr:nvSpPr>
        <xdr:cNvPr id="7" name="Right Arrow 7"/>
        <xdr:cNvSpPr>
          <a:spLocks/>
        </xdr:cNvSpPr>
      </xdr:nvSpPr>
      <xdr:spPr>
        <a:xfrm>
          <a:off x="2867025" y="3743325"/>
          <a:ext cx="352425" cy="171450"/>
        </a:xfrm>
        <a:prstGeom prst="rightArrow">
          <a:avLst>
            <a:gd name="adj" fmla="val 1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22</xdr:row>
      <xdr:rowOff>9525</xdr:rowOff>
    </xdr:from>
    <xdr:to>
      <xdr:col>2</xdr:col>
      <xdr:colOff>9525</xdr:colOff>
      <xdr:row>22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838325" y="3752850"/>
          <a:ext cx="209550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9525</xdr:rowOff>
    </xdr:from>
    <xdr:to>
      <xdr:col>3</xdr:col>
      <xdr:colOff>0</xdr:colOff>
      <xdr:row>22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2419350" y="3752850"/>
          <a:ext cx="400050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ru\OneDrive\Documentos\.Estudio%20EGUIA\JM%20AGRO\SUELDOS\2022\022022\GIAMPIETRI,%20HECTOR%20F.%20RECIBO%2001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ru\OneDrive\Documentos\.Estudio%20EGUIA\JM%20AGRO\SUELDOS\2022\022022\REYNOSO,%20OSMAR.%20RECIBO%200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RURAL"/>
      <sheetName val="SDO RURAL may"/>
    </sheetNames>
    <sheetDataSet>
      <sheetData sheetId="0">
        <row r="23">
          <cell r="K23">
            <v>1</v>
          </cell>
          <cell r="L23">
            <v>31</v>
          </cell>
        </row>
        <row r="24">
          <cell r="K24">
            <v>2</v>
          </cell>
          <cell r="L24">
            <v>28</v>
          </cell>
        </row>
        <row r="25">
          <cell r="K25">
            <v>3</v>
          </cell>
          <cell r="L25">
            <v>31</v>
          </cell>
        </row>
        <row r="26">
          <cell r="K26">
            <v>4</v>
          </cell>
          <cell r="L26">
            <v>30</v>
          </cell>
        </row>
        <row r="27">
          <cell r="K27">
            <v>5</v>
          </cell>
          <cell r="L27">
            <v>31</v>
          </cell>
        </row>
        <row r="28">
          <cell r="K28">
            <v>6</v>
          </cell>
          <cell r="L28">
            <v>30</v>
          </cell>
        </row>
        <row r="29">
          <cell r="K29">
            <v>7</v>
          </cell>
          <cell r="L29">
            <v>31</v>
          </cell>
        </row>
        <row r="30">
          <cell r="K30">
            <v>8</v>
          </cell>
          <cell r="L30">
            <v>31</v>
          </cell>
        </row>
        <row r="31">
          <cell r="K31">
            <v>9</v>
          </cell>
          <cell r="L31">
            <v>30</v>
          </cell>
        </row>
        <row r="32">
          <cell r="K32">
            <v>10</v>
          </cell>
          <cell r="L32">
            <v>31</v>
          </cell>
        </row>
        <row r="33">
          <cell r="K33">
            <v>11</v>
          </cell>
          <cell r="L33">
            <v>30</v>
          </cell>
        </row>
        <row r="34">
          <cell r="K34">
            <v>12</v>
          </cell>
          <cell r="L34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RURAL"/>
      <sheetName val="SDO RURAL ENE"/>
      <sheetName val="VACACIONES"/>
    </sheetNames>
    <sheetDataSet>
      <sheetData sheetId="0">
        <row r="23">
          <cell r="K23">
            <v>1</v>
          </cell>
          <cell r="L23">
            <v>31</v>
          </cell>
        </row>
        <row r="24">
          <cell r="K24">
            <v>2</v>
          </cell>
          <cell r="L24">
            <v>28</v>
          </cell>
        </row>
        <row r="25">
          <cell r="K25">
            <v>3</v>
          </cell>
          <cell r="L25">
            <v>31</v>
          </cell>
        </row>
        <row r="26">
          <cell r="K26">
            <v>4</v>
          </cell>
          <cell r="L26">
            <v>30</v>
          </cell>
        </row>
        <row r="27">
          <cell r="K27">
            <v>5</v>
          </cell>
          <cell r="L27">
            <v>31</v>
          </cell>
        </row>
        <row r="28">
          <cell r="K28">
            <v>6</v>
          </cell>
          <cell r="L28">
            <v>30</v>
          </cell>
        </row>
        <row r="29">
          <cell r="K29">
            <v>7</v>
          </cell>
          <cell r="L29">
            <v>31</v>
          </cell>
        </row>
        <row r="30">
          <cell r="K30">
            <v>8</v>
          </cell>
          <cell r="L30">
            <v>31</v>
          </cell>
        </row>
        <row r="31">
          <cell r="K31">
            <v>9</v>
          </cell>
          <cell r="L31">
            <v>30</v>
          </cell>
        </row>
        <row r="32">
          <cell r="K32">
            <v>10</v>
          </cell>
          <cell r="L32">
            <v>31</v>
          </cell>
        </row>
        <row r="33">
          <cell r="K33">
            <v>11</v>
          </cell>
          <cell r="L33">
            <v>30</v>
          </cell>
        </row>
        <row r="34">
          <cell r="K34">
            <v>12</v>
          </cell>
          <cell r="L34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18.00390625" style="2" customWidth="1"/>
    <col min="2" max="2" width="12.57421875" style="2" customWidth="1"/>
    <col min="3" max="3" width="11.7109375" style="2" customWidth="1"/>
    <col min="4" max="5" width="9.00390625" style="2" customWidth="1"/>
    <col min="6" max="7" width="11.421875" style="2" customWidth="1"/>
    <col min="8" max="16384" width="9.00390625" style="2" customWidth="1"/>
  </cols>
  <sheetData>
    <row r="1" ht="12.75">
      <c r="A1" s="1" t="s">
        <v>0</v>
      </c>
    </row>
    <row r="2" spans="1:13" ht="12.75">
      <c r="A2" s="1"/>
      <c r="F2" s="48" t="s">
        <v>62</v>
      </c>
      <c r="G2" s="49"/>
      <c r="H2" s="49"/>
      <c r="I2" s="49"/>
      <c r="J2" s="49"/>
      <c r="K2" s="49"/>
      <c r="L2" s="49"/>
      <c r="M2" s="50"/>
    </row>
    <row r="3" spans="1:13" ht="12.75">
      <c r="A3" s="1" t="s">
        <v>1</v>
      </c>
      <c r="F3" s="51" t="s">
        <v>63</v>
      </c>
      <c r="G3" s="52"/>
      <c r="H3" s="52"/>
      <c r="I3" s="52"/>
      <c r="J3" s="52"/>
      <c r="K3" s="52"/>
      <c r="L3" s="52"/>
      <c r="M3" s="53"/>
    </row>
    <row r="5" spans="1:7" ht="13.5">
      <c r="A5" s="3" t="s">
        <v>2</v>
      </c>
      <c r="B5" s="4" t="s">
        <v>3</v>
      </c>
      <c r="C5" s="4" t="s">
        <v>4</v>
      </c>
      <c r="F5" s="195" t="s">
        <v>5</v>
      </c>
      <c r="G5" s="196"/>
    </row>
    <row r="6" spans="1:7" ht="13.5">
      <c r="A6" s="5" t="s">
        <v>6</v>
      </c>
      <c r="B6" s="6">
        <v>0.14</v>
      </c>
      <c r="C6" s="7">
        <v>0.18</v>
      </c>
      <c r="D6" s="8" t="s">
        <v>7</v>
      </c>
      <c r="F6" s="9" t="s">
        <v>8</v>
      </c>
      <c r="G6" s="9" t="s">
        <v>9</v>
      </c>
    </row>
    <row r="7" spans="1:7" ht="13.5">
      <c r="A7" s="5" t="s">
        <v>10</v>
      </c>
      <c r="B7" s="6">
        <v>0.03</v>
      </c>
      <c r="C7" s="7">
        <v>0.06</v>
      </c>
      <c r="E7" s="10" t="s">
        <v>11</v>
      </c>
      <c r="F7" s="11">
        <f>+C7*10%</f>
        <v>0.006</v>
      </c>
      <c r="G7" s="12">
        <f>+C7*15%</f>
        <v>0.009</v>
      </c>
    </row>
    <row r="8" spans="5:7" ht="13.5">
      <c r="E8" s="10" t="s">
        <v>12</v>
      </c>
      <c r="F8" s="11">
        <f>+C7*90%</f>
        <v>0.054</v>
      </c>
      <c r="G8" s="12">
        <f>+C7*85%</f>
        <v>0.051</v>
      </c>
    </row>
    <row r="9" ht="13.5"/>
    <row r="10" spans="2:3" ht="13.5">
      <c r="B10" s="195" t="s">
        <v>5</v>
      </c>
      <c r="C10" s="196"/>
    </row>
    <row r="11" spans="2:3" ht="13.5">
      <c r="B11" s="9" t="s">
        <v>8</v>
      </c>
      <c r="C11" s="9" t="s">
        <v>9</v>
      </c>
    </row>
    <row r="12" spans="1:3" ht="13.5">
      <c r="A12" s="10" t="s">
        <v>11</v>
      </c>
      <c r="B12" s="11">
        <f>+B7*0.1</f>
        <v>0.003</v>
      </c>
      <c r="C12" s="12">
        <f>+B7*15%</f>
        <v>0.0045</v>
      </c>
    </row>
    <row r="13" spans="1:3" ht="13.5">
      <c r="A13" s="10" t="s">
        <v>12</v>
      </c>
      <c r="B13" s="11">
        <f>+B7*90%</f>
        <v>0.027</v>
      </c>
      <c r="C13" s="12">
        <f>+B7*85%</f>
        <v>0.0255</v>
      </c>
    </row>
    <row r="14" ht="13.5"/>
    <row r="15" ht="13.5"/>
    <row r="16" ht="13.5">
      <c r="A16" s="2" t="s">
        <v>13</v>
      </c>
    </row>
    <row r="17" ht="13.5"/>
    <row r="18" ht="13.5">
      <c r="A18" s="1" t="s">
        <v>14</v>
      </c>
    </row>
    <row r="19" ht="13.5"/>
    <row r="20" ht="13.5"/>
    <row r="21" spans="1:7" ht="12.75">
      <c r="A21" s="3" t="s">
        <v>2</v>
      </c>
      <c r="B21" s="4" t="s">
        <v>3</v>
      </c>
      <c r="C21" s="4" t="s">
        <v>4</v>
      </c>
      <c r="F21" s="195" t="s">
        <v>5</v>
      </c>
      <c r="G21" s="196"/>
    </row>
    <row r="22" spans="1:7" ht="12.75">
      <c r="A22" s="5" t="s">
        <v>6</v>
      </c>
      <c r="B22" s="6">
        <v>0.14</v>
      </c>
      <c r="C22" s="7">
        <f>19%-0.89%</f>
        <v>0.1811</v>
      </c>
      <c r="D22" s="8" t="s">
        <v>7</v>
      </c>
      <c r="F22" s="9" t="s">
        <v>8</v>
      </c>
      <c r="G22" s="9" t="s">
        <v>9</v>
      </c>
    </row>
    <row r="23" spans="1:7" ht="12.75">
      <c r="A23" s="5" t="s">
        <v>10</v>
      </c>
      <c r="B23" s="6">
        <v>0.03</v>
      </c>
      <c r="C23" s="7">
        <v>0.06</v>
      </c>
      <c r="E23" s="10" t="s">
        <v>11</v>
      </c>
      <c r="F23" s="11">
        <f>+C23*10%</f>
        <v>0.006</v>
      </c>
      <c r="G23" s="12">
        <f>+C23*15%</f>
        <v>0.009</v>
      </c>
    </row>
    <row r="24" spans="5:7" ht="12.75">
      <c r="E24" s="10" t="s">
        <v>12</v>
      </c>
      <c r="F24" s="11">
        <f>+C23*90%</f>
        <v>0.054</v>
      </c>
      <c r="G24" s="12">
        <f>+C23*85%</f>
        <v>0.051</v>
      </c>
    </row>
    <row r="26" spans="2:3" ht="12.75">
      <c r="B26" s="195" t="s">
        <v>5</v>
      </c>
      <c r="C26" s="196"/>
    </row>
    <row r="27" spans="2:3" ht="12.75">
      <c r="B27" s="9" t="s">
        <v>8</v>
      </c>
      <c r="C27" s="9" t="s">
        <v>9</v>
      </c>
    </row>
    <row r="28" spans="1:3" ht="12.75">
      <c r="A28" s="10" t="s">
        <v>11</v>
      </c>
      <c r="B28" s="11">
        <f>+B23*0.1</f>
        <v>0.003</v>
      </c>
      <c r="C28" s="12">
        <f>+B23*15%</f>
        <v>0.0045</v>
      </c>
    </row>
    <row r="29" spans="1:3" ht="12.75">
      <c r="A29" s="10" t="s">
        <v>12</v>
      </c>
      <c r="B29" s="11">
        <f>+B23*90%</f>
        <v>0.027</v>
      </c>
      <c r="C29" s="12">
        <f>+B23*85%</f>
        <v>0.0255</v>
      </c>
    </row>
    <row r="30" ht="12.75">
      <c r="E30" s="47">
        <f>21%-0.89%</f>
        <v>0.2011</v>
      </c>
    </row>
    <row r="31" ht="12.75">
      <c r="A31" s="2" t="s">
        <v>15</v>
      </c>
    </row>
    <row r="32" ht="12.75">
      <c r="A32" s="2" t="s">
        <v>58</v>
      </c>
    </row>
    <row r="33" ht="12.75">
      <c r="A33" s="2" t="s">
        <v>59</v>
      </c>
    </row>
    <row r="34" ht="12.75">
      <c r="A34" s="2" t="s">
        <v>60</v>
      </c>
    </row>
  </sheetData>
  <sheetProtection/>
  <mergeCells count="4">
    <mergeCell ref="F5:G5"/>
    <mergeCell ref="B10:C10"/>
    <mergeCell ref="F21:G21"/>
    <mergeCell ref="B26:C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29.57421875" style="2" customWidth="1"/>
    <col min="2" max="2" width="9.57421875" style="14" customWidth="1"/>
    <col min="3" max="3" width="17.57421875" style="2" customWidth="1"/>
    <col min="4" max="4" width="16.421875" style="2" customWidth="1"/>
    <col min="5" max="5" width="16.421875" style="14" customWidth="1"/>
    <col min="6" max="6" width="11.8515625" style="2" customWidth="1"/>
    <col min="7" max="7" width="13.421875" style="2" customWidth="1"/>
    <col min="8" max="8" width="10.421875" style="2" customWidth="1"/>
    <col min="9" max="9" width="22.28125" style="2" bestFit="1" customWidth="1"/>
    <col min="10" max="10" width="12.28125" style="2" bestFit="1" customWidth="1"/>
    <col min="11" max="11" width="11.7109375" style="2" bestFit="1" customWidth="1"/>
    <col min="12" max="16384" width="9.00390625" style="2" customWidth="1"/>
  </cols>
  <sheetData>
    <row r="1" ht="12.75">
      <c r="A1" s="13" t="s">
        <v>16</v>
      </c>
    </row>
    <row r="2" spans="1:7" ht="12.75">
      <c r="A2" s="13" t="s">
        <v>65</v>
      </c>
      <c r="D2" s="197" t="s">
        <v>40</v>
      </c>
      <c r="E2" s="198"/>
      <c r="F2" s="198"/>
      <c r="G2" s="199"/>
    </row>
    <row r="4" spans="3:7" ht="24.75">
      <c r="C4" s="31" t="s">
        <v>20</v>
      </c>
      <c r="D4" s="32" t="s">
        <v>21</v>
      </c>
      <c r="E4" s="32" t="s">
        <v>22</v>
      </c>
      <c r="F4" s="32" t="s">
        <v>202</v>
      </c>
      <c r="G4" s="32" t="s">
        <v>203</v>
      </c>
    </row>
    <row r="5" spans="1:7" ht="12.75">
      <c r="A5" s="5" t="s">
        <v>213</v>
      </c>
      <c r="B5" s="24"/>
      <c r="C5" s="54">
        <f>+ROUND(XXXX!H41,2)</f>
        <v>97176.92</v>
      </c>
      <c r="D5" s="156">
        <f>+C5</f>
        <v>97176.92</v>
      </c>
      <c r="E5" s="64"/>
      <c r="F5" s="184">
        <f>+XXXX!I41</f>
        <v>0</v>
      </c>
      <c r="G5" s="185">
        <f>+D5+F5</f>
        <v>97176.92</v>
      </c>
    </row>
    <row r="6" spans="1:7" ht="12.75">
      <c r="A6" s="5" t="s">
        <v>218</v>
      </c>
      <c r="B6" s="24"/>
      <c r="C6" s="54">
        <f>+ROUND(YYYY!H41,2)</f>
        <v>62170.8</v>
      </c>
      <c r="D6" s="55">
        <f>+C6</f>
        <v>62170.8</v>
      </c>
      <c r="E6" s="157"/>
      <c r="F6" s="184">
        <f>+YYYY!I41</f>
        <v>0</v>
      </c>
      <c r="G6" s="186">
        <f>+D6+F6</f>
        <v>62170.8</v>
      </c>
    </row>
    <row r="7" spans="4:7" ht="12.75">
      <c r="D7" s="30">
        <f>SUM(D5:D6)</f>
        <v>159347.72</v>
      </c>
      <c r="E7" s="30">
        <f>SUM(E5:E6)</f>
        <v>0</v>
      </c>
      <c r="F7" s="30">
        <f>SUM(F5:F6)</f>
        <v>0</v>
      </c>
      <c r="G7" s="30">
        <f>SUM(G5:G6)</f>
        <v>159347.72</v>
      </c>
    </row>
    <row r="8" spans="4:7" ht="12.75">
      <c r="D8" s="80" t="s">
        <v>82</v>
      </c>
      <c r="E8" s="81">
        <f>7003.68*2</f>
        <v>14007.36</v>
      </c>
      <c r="F8" s="60"/>
      <c r="G8" s="59"/>
    </row>
    <row r="10" spans="5:8" ht="13.5" thickBot="1">
      <c r="E10" s="33" t="s">
        <v>23</v>
      </c>
      <c r="G10" s="59"/>
      <c r="H10" s="63" t="s">
        <v>78</v>
      </c>
    </row>
    <row r="11" ht="13.5" thickBot="1">
      <c r="E11" s="34">
        <f>+E7+D7-E8</f>
        <v>145340.36</v>
      </c>
    </row>
    <row r="12" spans="1:11" ht="12.75">
      <c r="A12" s="15" t="s">
        <v>57</v>
      </c>
      <c r="G12" s="22" t="s">
        <v>207</v>
      </c>
      <c r="J12" s="33" t="s">
        <v>66</v>
      </c>
      <c r="K12" s="33" t="s">
        <v>67</v>
      </c>
    </row>
    <row r="13" spans="1:11" ht="12.75">
      <c r="A13" s="46" t="s">
        <v>55</v>
      </c>
      <c r="B13" s="41" t="s">
        <v>34</v>
      </c>
      <c r="C13" s="16">
        <f>ROUND($D$29,2)</f>
        <v>23025.75</v>
      </c>
      <c r="D13" s="184"/>
      <c r="E13" s="187"/>
      <c r="G13" s="64">
        <v>42105000</v>
      </c>
      <c r="H13" s="72" t="s">
        <v>77</v>
      </c>
      <c r="I13" s="67"/>
      <c r="J13" s="159">
        <f>+ROUND(YYYY!J44+XXXX!J44,2)</f>
        <v>126681.44</v>
      </c>
      <c r="K13" s="64"/>
    </row>
    <row r="14" spans="1:11" ht="12.75">
      <c r="A14" s="46" t="s">
        <v>56</v>
      </c>
      <c r="B14" s="41" t="s">
        <v>35</v>
      </c>
      <c r="C14" s="16">
        <f>ROUND($D$42,2)</f>
        <v>27616.15</v>
      </c>
      <c r="D14" s="184"/>
      <c r="E14" s="187"/>
      <c r="G14" s="29">
        <v>42108000</v>
      </c>
      <c r="H14" s="73" t="s">
        <v>68</v>
      </c>
      <c r="I14" s="70"/>
      <c r="J14" s="66">
        <f>ROUND(SUM(C13:C18),2)</f>
        <v>67612.42</v>
      </c>
      <c r="K14" s="29"/>
    </row>
    <row r="15" spans="1:11" ht="12.75">
      <c r="A15" s="46" t="s">
        <v>37</v>
      </c>
      <c r="B15" s="41" t="s">
        <v>36</v>
      </c>
      <c r="C15" s="16">
        <f>ROUND($D$49,2)</f>
        <v>4063.37</v>
      </c>
      <c r="D15" s="184"/>
      <c r="E15" s="187"/>
      <c r="G15" s="29">
        <v>42109000</v>
      </c>
      <c r="H15" s="73" t="s">
        <v>69</v>
      </c>
      <c r="I15" s="70"/>
      <c r="J15" s="66">
        <f>ROUND(C19,2)</f>
        <v>40060.43</v>
      </c>
      <c r="K15" s="29"/>
    </row>
    <row r="16" spans="1:11" ht="12.75">
      <c r="A16" s="46" t="s">
        <v>39</v>
      </c>
      <c r="B16" s="41" t="s">
        <v>38</v>
      </c>
      <c r="C16" s="16">
        <f>ROUND($D$54,2)</f>
        <v>8126.73</v>
      </c>
      <c r="D16" s="184"/>
      <c r="E16" s="187"/>
      <c r="F16" s="183"/>
      <c r="G16" s="29">
        <v>42109001</v>
      </c>
      <c r="H16" s="73" t="s">
        <v>80</v>
      </c>
      <c r="I16" s="70"/>
      <c r="J16" s="66">
        <f>ROUND(D36,2)</f>
        <v>3186.95</v>
      </c>
      <c r="K16" s="29"/>
    </row>
    <row r="17" spans="1:11" ht="12.75">
      <c r="A17" s="46" t="s">
        <v>53</v>
      </c>
      <c r="B17" s="41" t="s">
        <v>44</v>
      </c>
      <c r="C17" s="16">
        <f>ROUND($D$61,2)-0.01</f>
        <v>2390.2099999999996</v>
      </c>
      <c r="D17" s="184"/>
      <c r="E17" s="187"/>
      <c r="G17" s="29">
        <v>21201000</v>
      </c>
      <c r="H17" s="73"/>
      <c r="I17" s="70" t="s">
        <v>76</v>
      </c>
      <c r="J17" s="29"/>
      <c r="K17" s="66">
        <f>ROUND(J13,2)</f>
        <v>126681.44</v>
      </c>
    </row>
    <row r="18" spans="1:11" ht="12.75">
      <c r="A18" s="46" t="s">
        <v>54</v>
      </c>
      <c r="B18" s="41" t="s">
        <v>45</v>
      </c>
      <c r="C18" s="16">
        <f>ROUND($D$66,2)-0.01</f>
        <v>2390.2099999999996</v>
      </c>
      <c r="D18" s="184"/>
      <c r="E18" s="187"/>
      <c r="F18" s="61"/>
      <c r="G18" s="29">
        <v>21204000</v>
      </c>
      <c r="H18" s="73"/>
      <c r="I18" s="70" t="s">
        <v>72</v>
      </c>
      <c r="J18" s="29"/>
      <c r="K18" s="66">
        <f>ROUND(SUM(C13:C14),2)</f>
        <v>50641.9</v>
      </c>
    </row>
    <row r="19" spans="1:11" ht="13.5" thickBot="1">
      <c r="A19" s="2" t="s">
        <v>46</v>
      </c>
      <c r="B19" s="41" t="s">
        <v>52</v>
      </c>
      <c r="C19" s="16">
        <f>ROUND(E76,2)</f>
        <v>40060.43</v>
      </c>
      <c r="D19" s="184"/>
      <c r="E19" s="187"/>
      <c r="F19" s="61"/>
      <c r="G19" s="29">
        <v>21205000</v>
      </c>
      <c r="H19" s="73"/>
      <c r="I19" s="70" t="s">
        <v>73</v>
      </c>
      <c r="J19" s="29"/>
      <c r="K19" s="66">
        <f>ROUND(SUM(C15:C16),2)</f>
        <v>12190.1</v>
      </c>
    </row>
    <row r="20" spans="3:11" ht="13.5" thickBot="1">
      <c r="C20" s="21">
        <f>SUM(C13:C19)</f>
        <v>107672.85</v>
      </c>
      <c r="D20" s="184"/>
      <c r="E20" s="187"/>
      <c r="F20" s="61"/>
      <c r="G20" s="29">
        <v>21206000</v>
      </c>
      <c r="H20" s="73"/>
      <c r="I20" s="70" t="s">
        <v>74</v>
      </c>
      <c r="J20" s="29"/>
      <c r="K20" s="66">
        <f>ROUND(C19,2)</f>
        <v>40060.43</v>
      </c>
    </row>
    <row r="21" spans="1:11" ht="12.75">
      <c r="A21" s="15" t="s">
        <v>27</v>
      </c>
      <c r="E21" s="27"/>
      <c r="F21" s="61"/>
      <c r="G21" s="29">
        <v>21207000</v>
      </c>
      <c r="H21" s="158"/>
      <c r="I21" s="70" t="s">
        <v>75</v>
      </c>
      <c r="J21" s="29"/>
      <c r="K21" s="66">
        <f>ROUND(SUM(C17:C18),2)</f>
        <v>4780.42</v>
      </c>
    </row>
    <row r="22" spans="7:12" ht="12.75">
      <c r="G22" s="65">
        <v>21208000</v>
      </c>
      <c r="H22" s="76"/>
      <c r="I22" s="69" t="s">
        <v>81</v>
      </c>
      <c r="J22" s="65"/>
      <c r="K22" s="75">
        <f>ROUND(J16,2)</f>
        <v>3186.95</v>
      </c>
      <c r="L22" s="2" t="s">
        <v>71</v>
      </c>
    </row>
    <row r="23" spans="1:12" ht="26.25">
      <c r="A23" s="17" t="s">
        <v>2</v>
      </c>
      <c r="B23" s="18" t="s">
        <v>19</v>
      </c>
      <c r="C23" s="19" t="s">
        <v>30</v>
      </c>
      <c r="D23" s="20" t="s">
        <v>25</v>
      </c>
      <c r="E23" s="36"/>
      <c r="F23" s="62"/>
      <c r="G23" s="61"/>
      <c r="H23" s="60" t="s">
        <v>79</v>
      </c>
      <c r="J23" s="39">
        <f>+SUM(J13:J16)</f>
        <v>237541.24</v>
      </c>
      <c r="K23" s="39">
        <f>+SUM(K17:K22)</f>
        <v>237541.24000000002</v>
      </c>
      <c r="L23" s="74">
        <f>+J23-K23</f>
        <v>0</v>
      </c>
    </row>
    <row r="24" spans="1:5" ht="12.75">
      <c r="A24" s="2" t="s">
        <v>17</v>
      </c>
      <c r="B24" s="25">
        <v>0.11</v>
      </c>
      <c r="C24" s="16">
        <f>+D7</f>
        <v>159347.72</v>
      </c>
      <c r="D24" s="16">
        <f>+B24*C24</f>
        <v>17528.249200000002</v>
      </c>
      <c r="E24" s="35"/>
    </row>
    <row r="25" spans="1:7" ht="12.75">
      <c r="A25" s="2" t="s">
        <v>18</v>
      </c>
      <c r="B25" s="25">
        <v>0.03</v>
      </c>
      <c r="C25" s="16">
        <f>+D7</f>
        <v>159347.72</v>
      </c>
      <c r="D25" s="16">
        <f>+B25*C25</f>
        <v>4780.4316</v>
      </c>
      <c r="E25" s="35"/>
      <c r="F25" s="26"/>
      <c r="G25" s="39"/>
    </row>
    <row r="26" spans="6:11" ht="12.75">
      <c r="F26" s="25"/>
      <c r="G26" s="37" t="s">
        <v>208</v>
      </c>
      <c r="J26" s="33" t="s">
        <v>66</v>
      </c>
      <c r="K26" s="33" t="s">
        <v>67</v>
      </c>
    </row>
    <row r="27" spans="1:11" ht="12.75">
      <c r="A27" s="2" t="s">
        <v>11</v>
      </c>
      <c r="B27" s="25">
        <f>+'DATOS F 931'!C28</f>
        <v>0.0045</v>
      </c>
      <c r="C27" s="16">
        <f>+G7</f>
        <v>159347.72</v>
      </c>
      <c r="D27" s="16">
        <f>+B27*C27</f>
        <v>717.0647399999999</v>
      </c>
      <c r="F27" s="25"/>
      <c r="G27" s="64">
        <v>21204000</v>
      </c>
      <c r="H27" s="67" t="s">
        <v>72</v>
      </c>
      <c r="I27" s="67"/>
      <c r="J27" s="71">
        <f>+K18</f>
        <v>50641.9</v>
      </c>
      <c r="K27" s="64"/>
    </row>
    <row r="28" spans="6:11" ht="13.5" thickBot="1">
      <c r="F28" s="14"/>
      <c r="G28" s="29">
        <v>21205000</v>
      </c>
      <c r="H28" s="70" t="s">
        <v>73</v>
      </c>
      <c r="I28" s="70"/>
      <c r="J28" s="66">
        <f>+K19</f>
        <v>12190.1</v>
      </c>
      <c r="K28" s="29"/>
    </row>
    <row r="29" spans="1:11" ht="13.5" thickBot="1">
      <c r="A29" s="22"/>
      <c r="C29" s="23" t="s">
        <v>31</v>
      </c>
      <c r="D29" s="21">
        <f>SUM(D24:D28)</f>
        <v>23025.745540000004</v>
      </c>
      <c r="E29" s="41" t="s">
        <v>34</v>
      </c>
      <c r="F29" s="25"/>
      <c r="G29" s="29">
        <v>21206000</v>
      </c>
      <c r="H29" s="70" t="s">
        <v>74</v>
      </c>
      <c r="I29" s="70"/>
      <c r="J29" s="66">
        <f>+K20</f>
        <v>40060.43</v>
      </c>
      <c r="K29" s="29"/>
    </row>
    <row r="30" spans="6:11" ht="12.75">
      <c r="F30" s="14"/>
      <c r="G30" s="29">
        <v>21207000</v>
      </c>
      <c r="H30" s="40" t="s">
        <v>75</v>
      </c>
      <c r="I30" s="70"/>
      <c r="J30" s="66">
        <f>+K21</f>
        <v>4780.42</v>
      </c>
      <c r="K30" s="29"/>
    </row>
    <row r="31" spans="1:12" ht="26.25">
      <c r="A31" s="17" t="s">
        <v>2</v>
      </c>
      <c r="B31" s="18" t="s">
        <v>19</v>
      </c>
      <c r="C31" s="19" t="s">
        <v>30</v>
      </c>
      <c r="D31" s="19" t="s">
        <v>26</v>
      </c>
      <c r="E31" s="36"/>
      <c r="F31" s="14"/>
      <c r="G31" s="65">
        <v>11102002</v>
      </c>
      <c r="H31" s="68"/>
      <c r="I31" s="69" t="s">
        <v>84</v>
      </c>
      <c r="J31" s="65"/>
      <c r="K31" s="75">
        <f>+SUM(J27:J30)</f>
        <v>107672.84999999999</v>
      </c>
      <c r="L31" s="2" t="s">
        <v>71</v>
      </c>
    </row>
    <row r="32" spans="1:12" ht="12.75">
      <c r="A32" s="2" t="s">
        <v>17</v>
      </c>
      <c r="B32" s="25">
        <v>0.1077</v>
      </c>
      <c r="C32" s="16">
        <f>+E11</f>
        <v>145340.36</v>
      </c>
      <c r="D32" s="16">
        <f>ROUND(B32*C32,2)</f>
        <v>15653.16</v>
      </c>
      <c r="E32" s="28"/>
      <c r="F32" s="14"/>
      <c r="H32" s="60" t="s">
        <v>206</v>
      </c>
      <c r="J32" s="16">
        <f>+SUM(J27:J30)</f>
        <v>107672.84999999999</v>
      </c>
      <c r="K32" s="16">
        <f>+K31</f>
        <v>107672.84999999999</v>
      </c>
      <c r="L32" s="74">
        <f>+J32-K32</f>
        <v>0</v>
      </c>
    </row>
    <row r="33" spans="1:7" ht="12.75">
      <c r="A33" s="2" t="s">
        <v>18</v>
      </c>
      <c r="B33" s="25">
        <v>0.0159</v>
      </c>
      <c r="C33" s="16">
        <f>+E11</f>
        <v>145340.36</v>
      </c>
      <c r="D33" s="16">
        <f>ROUND(B33*C33,2)</f>
        <v>2310.91</v>
      </c>
      <c r="E33" s="28"/>
      <c r="F33" s="26"/>
      <c r="G33" s="37"/>
    </row>
    <row r="34" spans="1:11" ht="12.75">
      <c r="A34" s="2" t="s">
        <v>28</v>
      </c>
      <c r="B34" s="25">
        <v>0.047</v>
      </c>
      <c r="C34" s="16">
        <f>+E11</f>
        <v>145340.36</v>
      </c>
      <c r="D34" s="16">
        <f>ROUND(B34*C34,2)</f>
        <v>6831</v>
      </c>
      <c r="E34" s="28"/>
      <c r="F34" s="38"/>
      <c r="G34" s="22" t="s">
        <v>83</v>
      </c>
      <c r="J34" s="33" t="s">
        <v>66</v>
      </c>
      <c r="K34" s="33" t="s">
        <v>67</v>
      </c>
    </row>
    <row r="35" spans="1:11" ht="12.75">
      <c r="A35" s="2" t="s">
        <v>32</v>
      </c>
      <c r="B35" s="25">
        <v>0.0092</v>
      </c>
      <c r="C35" s="16">
        <f>+E7</f>
        <v>0</v>
      </c>
      <c r="D35" s="16">
        <f>+B35*C35</f>
        <v>0</v>
      </c>
      <c r="E35" s="46" t="s">
        <v>61</v>
      </c>
      <c r="F35" s="38"/>
      <c r="G35" s="64">
        <v>21201000</v>
      </c>
      <c r="H35" s="67" t="s">
        <v>76</v>
      </c>
      <c r="I35" s="79"/>
      <c r="J35" s="71">
        <f>+J13</f>
        <v>126681.44</v>
      </c>
      <c r="K35" s="64"/>
    </row>
    <row r="36" spans="1:12" ht="12.75">
      <c r="A36" s="2" t="s">
        <v>29</v>
      </c>
      <c r="B36" s="25">
        <v>0.02</v>
      </c>
      <c r="C36" s="16">
        <f>+D7</f>
        <v>159347.72</v>
      </c>
      <c r="D36" s="16">
        <f>ROUND(B36*C36,2)</f>
        <v>3186.95</v>
      </c>
      <c r="E36" s="58" t="s">
        <v>64</v>
      </c>
      <c r="F36" s="38"/>
      <c r="G36" s="65">
        <v>11102002</v>
      </c>
      <c r="H36" s="68"/>
      <c r="I36" s="69" t="s">
        <v>84</v>
      </c>
      <c r="J36" s="65"/>
      <c r="K36" s="75">
        <f>+J35</f>
        <v>126681.44</v>
      </c>
      <c r="L36" s="2" t="s">
        <v>71</v>
      </c>
    </row>
    <row r="37" spans="5:12" ht="12.75">
      <c r="E37" s="27"/>
      <c r="F37" s="77">
        <v>0</v>
      </c>
      <c r="G37" s="36"/>
      <c r="H37" s="60" t="s">
        <v>79</v>
      </c>
      <c r="J37" s="16">
        <f>+J35</f>
        <v>126681.44</v>
      </c>
      <c r="K37" s="16">
        <f>+SUM(K36:K36)</f>
        <v>126681.44</v>
      </c>
      <c r="L37" s="74">
        <f>+J37-K37</f>
        <v>0</v>
      </c>
    </row>
    <row r="38" spans="1:6" ht="12.75">
      <c r="A38" s="2" t="s">
        <v>11</v>
      </c>
      <c r="B38" s="25">
        <f>+'DATOS F 931'!G23</f>
        <v>0.009</v>
      </c>
      <c r="C38" s="16">
        <f>+G7</f>
        <v>159347.72</v>
      </c>
      <c r="D38" s="16">
        <f>ROUND(B38*C38,2)</f>
        <v>1434.13</v>
      </c>
      <c r="E38" s="28"/>
      <c r="F38" s="78">
        <v>0</v>
      </c>
    </row>
    <row r="39" spans="2:11" ht="12.75">
      <c r="B39" s="2"/>
      <c r="E39" s="2"/>
      <c r="G39" s="22" t="s">
        <v>209</v>
      </c>
      <c r="J39" s="33" t="s">
        <v>66</v>
      </c>
      <c r="K39" s="33" t="s">
        <v>67</v>
      </c>
    </row>
    <row r="40" spans="1:11" ht="12.75">
      <c r="A40" s="2" t="s">
        <v>201</v>
      </c>
      <c r="B40" s="2"/>
      <c r="D40" s="60">
        <v>-1800</v>
      </c>
      <c r="E40" s="2"/>
      <c r="G40" s="64">
        <v>21208000</v>
      </c>
      <c r="H40" s="72" t="s">
        <v>81</v>
      </c>
      <c r="I40" s="67"/>
      <c r="J40" s="71">
        <f>+K22</f>
        <v>3186.95</v>
      </c>
      <c r="K40" s="64"/>
    </row>
    <row r="41" spans="5:12" ht="13.5" thickBot="1">
      <c r="E41" s="27"/>
      <c r="F41" s="27"/>
      <c r="G41" s="65">
        <v>11101001</v>
      </c>
      <c r="H41" s="76"/>
      <c r="I41" s="69" t="s">
        <v>70</v>
      </c>
      <c r="J41" s="65"/>
      <c r="K41" s="75">
        <f>+J40</f>
        <v>3186.95</v>
      </c>
      <c r="L41" s="2" t="s">
        <v>71</v>
      </c>
    </row>
    <row r="42" spans="1:12" ht="13.5" thickBot="1">
      <c r="A42" s="22"/>
      <c r="C42" s="23" t="s">
        <v>33</v>
      </c>
      <c r="D42" s="21">
        <f>SUM(D32:D41)</f>
        <v>27616.15</v>
      </c>
      <c r="E42" s="41" t="s">
        <v>35</v>
      </c>
      <c r="F42" s="38"/>
      <c r="H42" s="60" t="s">
        <v>206</v>
      </c>
      <c r="J42" s="16">
        <f>+J40</f>
        <v>3186.95</v>
      </c>
      <c r="K42" s="16">
        <f>+K41</f>
        <v>3186.95</v>
      </c>
      <c r="L42" s="74">
        <f>+J42-K42</f>
        <v>0</v>
      </c>
    </row>
    <row r="43" ht="12.75">
      <c r="F43" s="27"/>
    </row>
    <row r="44" spans="1:6" ht="12.75">
      <c r="A44" s="15" t="s">
        <v>10</v>
      </c>
      <c r="D44" s="16"/>
      <c r="F44" s="27"/>
    </row>
    <row r="46" spans="1:6" ht="26.25">
      <c r="A46" s="17" t="s">
        <v>2</v>
      </c>
      <c r="B46" s="18" t="s">
        <v>19</v>
      </c>
      <c r="C46" s="19" t="s">
        <v>24</v>
      </c>
      <c r="D46" s="19" t="s">
        <v>25</v>
      </c>
      <c r="F46" s="14"/>
    </row>
    <row r="47" spans="1:6" ht="12.75">
      <c r="A47" s="2" t="s">
        <v>10</v>
      </c>
      <c r="B47" s="25">
        <f>+'DATOS F 931'!C29</f>
        <v>0.0255</v>
      </c>
      <c r="C47" s="16">
        <f>+G7</f>
        <v>159347.72</v>
      </c>
      <c r="D47" s="16">
        <f>+C47*B47</f>
        <v>4063.3668599999996</v>
      </c>
      <c r="F47" s="14"/>
    </row>
    <row r="48" ht="13.5" thickBot="1">
      <c r="F48" s="26"/>
    </row>
    <row r="49" spans="1:6" ht="13.5" thickBot="1">
      <c r="A49" s="22"/>
      <c r="C49" s="23" t="s">
        <v>37</v>
      </c>
      <c r="D49" s="21">
        <f>+D47</f>
        <v>4063.3668599999996</v>
      </c>
      <c r="E49" s="41" t="s">
        <v>36</v>
      </c>
      <c r="F49" s="38"/>
    </row>
    <row r="51" spans="1:4" ht="26.25">
      <c r="A51" s="17" t="s">
        <v>2</v>
      </c>
      <c r="B51" s="18" t="s">
        <v>19</v>
      </c>
      <c r="C51" s="19" t="s">
        <v>24</v>
      </c>
      <c r="D51" s="19" t="s">
        <v>43</v>
      </c>
    </row>
    <row r="52" spans="1:4" ht="12.75">
      <c r="A52" s="2" t="s">
        <v>10</v>
      </c>
      <c r="B52" s="25">
        <f>+'DATOS F 931'!G24</f>
        <v>0.051</v>
      </c>
      <c r="C52" s="16">
        <f>+G7</f>
        <v>159347.72</v>
      </c>
      <c r="D52" s="16">
        <f>+C52*B52</f>
        <v>8126.733719999999</v>
      </c>
    </row>
    <row r="53" ht="13.5" thickBot="1"/>
    <row r="54" spans="1:5" ht="13.5" thickBot="1">
      <c r="A54" s="22"/>
      <c r="C54" s="23" t="s">
        <v>39</v>
      </c>
      <c r="D54" s="21">
        <f>+D52</f>
        <v>8126.733719999999</v>
      </c>
      <c r="E54" s="41" t="s">
        <v>38</v>
      </c>
    </row>
    <row r="56" ht="12.75">
      <c r="A56" s="15" t="s">
        <v>41</v>
      </c>
    </row>
    <row r="58" spans="1:4" ht="26.25">
      <c r="A58" s="17" t="s">
        <v>2</v>
      </c>
      <c r="B58" s="18" t="s">
        <v>19</v>
      </c>
      <c r="C58" s="19" t="s">
        <v>24</v>
      </c>
      <c r="D58" s="19" t="s">
        <v>25</v>
      </c>
    </row>
    <row r="59" spans="1:4" ht="12.75">
      <c r="A59" s="2" t="s">
        <v>42</v>
      </c>
      <c r="B59" s="25">
        <v>0.015</v>
      </c>
      <c r="C59" s="16">
        <f>+D7</f>
        <v>159347.72</v>
      </c>
      <c r="D59" s="16">
        <f>+C59*B59</f>
        <v>2390.2158</v>
      </c>
    </row>
    <row r="60" ht="13.5" thickBot="1"/>
    <row r="61" spans="1:5" ht="13.5" thickBot="1">
      <c r="A61" s="22"/>
      <c r="C61" s="23" t="s">
        <v>53</v>
      </c>
      <c r="D61" s="21">
        <f>+D59</f>
        <v>2390.2158</v>
      </c>
      <c r="E61" s="41" t="s">
        <v>44</v>
      </c>
    </row>
    <row r="63" spans="1:4" ht="26.25">
      <c r="A63" s="17" t="s">
        <v>2</v>
      </c>
      <c r="B63" s="18" t="s">
        <v>19</v>
      </c>
      <c r="C63" s="19" t="s">
        <v>24</v>
      </c>
      <c r="D63" s="19" t="s">
        <v>43</v>
      </c>
    </row>
    <row r="64" spans="1:4" ht="12.75">
      <c r="A64" s="2" t="s">
        <v>42</v>
      </c>
      <c r="B64" s="25">
        <v>0.015</v>
      </c>
      <c r="C64" s="16">
        <f>+D7</f>
        <v>159347.72</v>
      </c>
      <c r="D64" s="16">
        <f>+C64*B64</f>
        <v>2390.2158</v>
      </c>
    </row>
    <row r="65" ht="13.5" thickBot="1"/>
    <row r="66" spans="1:5" ht="13.5" thickBot="1">
      <c r="A66" s="22"/>
      <c r="C66" s="23" t="s">
        <v>54</v>
      </c>
      <c r="D66" s="21">
        <f>+D64</f>
        <v>2390.2158</v>
      </c>
      <c r="E66" s="41" t="s">
        <v>45</v>
      </c>
    </row>
    <row r="68" ht="12.75">
      <c r="A68" s="15" t="s">
        <v>46</v>
      </c>
    </row>
    <row r="70" spans="1:5" ht="12.75">
      <c r="A70" s="2" t="s">
        <v>47</v>
      </c>
      <c r="B70" s="57">
        <v>0.25</v>
      </c>
      <c r="C70" s="2" t="s">
        <v>24</v>
      </c>
      <c r="D70" s="16">
        <f>+D7+YYYY!I41+XXXX!I41</f>
        <v>159347.72</v>
      </c>
      <c r="E70" s="44">
        <f>+D70*B70</f>
        <v>39836.93</v>
      </c>
    </row>
    <row r="71" ht="12.75">
      <c r="E71" s="44"/>
    </row>
    <row r="72" spans="1:5" ht="12.75">
      <c r="A72" s="2" t="s">
        <v>48</v>
      </c>
      <c r="B72" s="42">
        <v>111.75</v>
      </c>
      <c r="C72" s="2" t="s">
        <v>49</v>
      </c>
      <c r="D72" s="43">
        <v>2</v>
      </c>
      <c r="E72" s="44">
        <f>+D72*B72</f>
        <v>223.5</v>
      </c>
    </row>
    <row r="73" ht="12.75">
      <c r="E73" s="44"/>
    </row>
    <row r="74" spans="1:5" ht="12.75">
      <c r="A74" s="2" t="s">
        <v>50</v>
      </c>
      <c r="B74" s="35"/>
      <c r="E74" s="56">
        <v>0</v>
      </c>
    </row>
    <row r="75" ht="13.5" thickBot="1">
      <c r="E75" s="44"/>
    </row>
    <row r="76" spans="4:6" ht="13.5" thickBot="1">
      <c r="D76" s="23" t="s">
        <v>51</v>
      </c>
      <c r="E76" s="45">
        <f>+E74+E72+E70</f>
        <v>40060.43</v>
      </c>
      <c r="F76" s="41" t="s">
        <v>52</v>
      </c>
    </row>
  </sheetData>
  <sheetProtection/>
  <mergeCells count="1">
    <mergeCell ref="D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ignoredErrors>
    <ignoredError sqref="D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="75" zoomScaleNormal="75" zoomScalePageLayoutView="0" workbookViewId="0" topLeftCell="A1">
      <selection activeCell="I27" sqref="I27"/>
    </sheetView>
  </sheetViews>
  <sheetFormatPr defaultColWidth="9.00390625" defaultRowHeight="15"/>
  <cols>
    <col min="1" max="1" width="1.7109375" style="82" customWidth="1"/>
    <col min="2" max="2" width="8.00390625" style="82" customWidth="1"/>
    <col min="3" max="3" width="8.140625" style="82" customWidth="1"/>
    <col min="4" max="4" width="6.8515625" style="82" customWidth="1"/>
    <col min="5" max="5" width="10.28125" style="82" customWidth="1"/>
    <col min="6" max="6" width="7.00390625" style="82" customWidth="1"/>
    <col min="7" max="7" width="9.28125" style="82" customWidth="1"/>
    <col min="8" max="10" width="19.421875" style="82" customWidth="1"/>
    <col min="11" max="11" width="0.9921875" style="82" customWidth="1"/>
    <col min="12" max="13" width="3.57421875" style="82" customWidth="1"/>
    <col min="14" max="14" width="1.7109375" style="82" customWidth="1"/>
    <col min="15" max="16" width="8.00390625" style="82" customWidth="1"/>
    <col min="17" max="17" width="6.8515625" style="82" customWidth="1"/>
    <col min="18" max="18" width="10.28125" style="82" customWidth="1"/>
    <col min="19" max="19" width="7.00390625" style="82" customWidth="1"/>
    <col min="20" max="20" width="9.28125" style="82" customWidth="1"/>
    <col min="21" max="23" width="19.421875" style="82" customWidth="1"/>
    <col min="24" max="24" width="0.9921875" style="82" customWidth="1"/>
    <col min="25" max="16384" width="9.00390625" style="82" customWidth="1"/>
  </cols>
  <sheetData>
    <row r="1" spans="2:3" ht="15">
      <c r="B1" s="83" t="s">
        <v>7</v>
      </c>
      <c r="C1" s="82" t="s">
        <v>85</v>
      </c>
    </row>
    <row r="2" spans="2:3" ht="15">
      <c r="B2" s="83" t="s">
        <v>86</v>
      </c>
      <c r="C2" s="82" t="s">
        <v>87</v>
      </c>
    </row>
    <row r="3" spans="2:3" ht="15">
      <c r="B3" s="83" t="s">
        <v>88</v>
      </c>
      <c r="C3" s="82" t="s">
        <v>89</v>
      </c>
    </row>
    <row r="4" spans="2:8" ht="15">
      <c r="B4" s="83" t="s">
        <v>90</v>
      </c>
      <c r="C4" s="82" t="s">
        <v>91</v>
      </c>
      <c r="H4" s="84"/>
    </row>
    <row r="5" spans="2:8" ht="15">
      <c r="B5" s="83" t="s">
        <v>92</v>
      </c>
      <c r="C5" s="82" t="s">
        <v>93</v>
      </c>
      <c r="H5" s="85"/>
    </row>
    <row r="6" spans="2:8" ht="15">
      <c r="B6" s="86"/>
      <c r="C6" s="87"/>
      <c r="D6" s="87"/>
      <c r="E6" s="87"/>
      <c r="F6" s="87"/>
      <c r="G6" s="87"/>
      <c r="H6" s="87"/>
    </row>
    <row r="7" spans="1:24" ht="3.7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90"/>
      <c r="L7" s="85"/>
      <c r="N7" s="91"/>
      <c r="O7" s="92"/>
      <c r="P7" s="92"/>
      <c r="Q7" s="92"/>
      <c r="R7" s="92"/>
      <c r="S7" s="92"/>
      <c r="T7" s="92"/>
      <c r="U7" s="92"/>
      <c r="V7" s="92"/>
      <c r="W7" s="92"/>
      <c r="X7" s="93"/>
    </row>
    <row r="8" spans="1:24" ht="15">
      <c r="A8" s="94"/>
      <c r="B8" s="85"/>
      <c r="C8" s="85"/>
      <c r="D8" s="85"/>
      <c r="E8" s="85"/>
      <c r="F8" s="85"/>
      <c r="G8" s="85"/>
      <c r="H8" s="85"/>
      <c r="I8" s="85"/>
      <c r="J8" s="95" t="s">
        <v>94</v>
      </c>
      <c r="K8" s="96"/>
      <c r="L8" s="85"/>
      <c r="N8" s="97"/>
      <c r="O8" s="85"/>
      <c r="P8" s="85"/>
      <c r="Q8" s="85"/>
      <c r="R8" s="85"/>
      <c r="S8" s="85"/>
      <c r="T8" s="85"/>
      <c r="U8" s="85"/>
      <c r="V8" s="85"/>
      <c r="W8" s="95" t="s">
        <v>94</v>
      </c>
      <c r="X8" s="98"/>
    </row>
    <row r="9" spans="1:24" ht="15">
      <c r="A9" s="94"/>
      <c r="B9" s="85"/>
      <c r="C9" s="85"/>
      <c r="D9" s="85"/>
      <c r="E9" s="85"/>
      <c r="F9" s="85"/>
      <c r="G9" s="85"/>
      <c r="H9" s="85"/>
      <c r="I9" s="85"/>
      <c r="J9" s="95" t="s">
        <v>95</v>
      </c>
      <c r="K9" s="96"/>
      <c r="L9" s="85"/>
      <c r="N9" s="97"/>
      <c r="O9" s="85"/>
      <c r="P9" s="85"/>
      <c r="Q9" s="85"/>
      <c r="R9" s="85"/>
      <c r="S9" s="85"/>
      <c r="T9" s="85"/>
      <c r="U9" s="85"/>
      <c r="V9" s="85"/>
      <c r="W9" s="95" t="s">
        <v>96</v>
      </c>
      <c r="X9" s="98"/>
    </row>
    <row r="10" spans="1:24" ht="15">
      <c r="A10" s="94"/>
      <c r="B10" s="99" t="s">
        <v>97</v>
      </c>
      <c r="C10" s="85"/>
      <c r="D10" s="85" t="s">
        <v>220</v>
      </c>
      <c r="E10" s="85"/>
      <c r="F10" s="85"/>
      <c r="G10" s="85"/>
      <c r="H10" s="85"/>
      <c r="I10" s="85"/>
      <c r="J10" s="85"/>
      <c r="K10" s="96"/>
      <c r="L10" s="85"/>
      <c r="N10" s="97"/>
      <c r="O10" s="99" t="s">
        <v>97</v>
      </c>
      <c r="P10" s="85"/>
      <c r="Q10" s="85" t="str">
        <f>+D10</f>
        <v>AAAAAAA</v>
      </c>
      <c r="R10" s="85"/>
      <c r="S10" s="85"/>
      <c r="T10" s="85"/>
      <c r="U10" s="85"/>
      <c r="V10" s="85"/>
      <c r="W10" s="85"/>
      <c r="X10" s="98"/>
    </row>
    <row r="11" spans="1:24" ht="15">
      <c r="A11" s="94"/>
      <c r="B11" s="99" t="s">
        <v>98</v>
      </c>
      <c r="C11" s="85"/>
      <c r="D11" s="85" t="s">
        <v>221</v>
      </c>
      <c r="E11" s="85"/>
      <c r="F11" s="85"/>
      <c r="G11" s="85"/>
      <c r="H11" s="85"/>
      <c r="I11" s="85"/>
      <c r="J11" s="85"/>
      <c r="K11" s="96"/>
      <c r="L11" s="85"/>
      <c r="N11" s="97"/>
      <c r="O11" s="99" t="s">
        <v>98</v>
      </c>
      <c r="P11" s="85"/>
      <c r="Q11" s="85" t="str">
        <f>+D11</f>
        <v>XXXXXXX</v>
      </c>
      <c r="R11" s="85"/>
      <c r="S11" s="85"/>
      <c r="T11" s="85"/>
      <c r="U11" s="85"/>
      <c r="V11" s="85"/>
      <c r="W11" s="85"/>
      <c r="X11" s="98"/>
    </row>
    <row r="12" spans="1:24" ht="15">
      <c r="A12" s="94"/>
      <c r="B12" s="99" t="s">
        <v>99</v>
      </c>
      <c r="C12" s="85"/>
      <c r="D12" s="85" t="s">
        <v>221</v>
      </c>
      <c r="E12" s="85"/>
      <c r="F12" s="85"/>
      <c r="G12" s="85"/>
      <c r="H12" s="85"/>
      <c r="I12" s="85"/>
      <c r="J12" s="85"/>
      <c r="K12" s="96"/>
      <c r="L12" s="85"/>
      <c r="N12" s="97"/>
      <c r="O12" s="99" t="s">
        <v>99</v>
      </c>
      <c r="P12" s="85"/>
      <c r="Q12" s="85" t="str">
        <f>+D12</f>
        <v>XXXXXXX</v>
      </c>
      <c r="R12" s="85"/>
      <c r="S12" s="85"/>
      <c r="T12" s="85"/>
      <c r="U12" s="85"/>
      <c r="V12" s="85"/>
      <c r="W12" s="85"/>
      <c r="X12" s="98"/>
    </row>
    <row r="13" spans="1:24" ht="15">
      <c r="A13" s="94"/>
      <c r="B13" s="85"/>
      <c r="C13" s="85"/>
      <c r="D13" s="85" t="s">
        <v>221</v>
      </c>
      <c r="E13" s="85"/>
      <c r="F13" s="85"/>
      <c r="G13" s="85"/>
      <c r="H13" s="85"/>
      <c r="I13" s="85"/>
      <c r="J13" s="85"/>
      <c r="K13" s="96"/>
      <c r="L13" s="85"/>
      <c r="N13" s="97"/>
      <c r="O13" s="85"/>
      <c r="P13" s="85"/>
      <c r="Q13" s="85" t="str">
        <f>+D13</f>
        <v>XXXXXXX</v>
      </c>
      <c r="R13" s="85"/>
      <c r="S13" s="85"/>
      <c r="T13" s="85"/>
      <c r="U13" s="85"/>
      <c r="V13" s="85"/>
      <c r="W13" s="85"/>
      <c r="X13" s="98"/>
    </row>
    <row r="14" spans="1:24" ht="15">
      <c r="A14" s="94"/>
      <c r="B14" s="85"/>
      <c r="C14" s="85"/>
      <c r="D14" s="85"/>
      <c r="E14" s="85"/>
      <c r="F14" s="85"/>
      <c r="G14" s="85"/>
      <c r="H14" s="85"/>
      <c r="I14" s="85"/>
      <c r="J14" s="85"/>
      <c r="K14" s="96"/>
      <c r="L14" s="85"/>
      <c r="N14" s="97"/>
      <c r="O14" s="85"/>
      <c r="P14" s="85"/>
      <c r="Q14" s="85"/>
      <c r="R14" s="85"/>
      <c r="S14" s="85"/>
      <c r="T14" s="85"/>
      <c r="U14" s="85"/>
      <c r="V14" s="85"/>
      <c r="W14" s="85"/>
      <c r="X14" s="98"/>
    </row>
    <row r="15" spans="1:24" ht="15">
      <c r="A15" s="94"/>
      <c r="B15" s="85"/>
      <c r="C15" s="85"/>
      <c r="D15" s="85"/>
      <c r="E15" s="85"/>
      <c r="F15" s="85"/>
      <c r="G15" s="85"/>
      <c r="H15" s="85"/>
      <c r="I15" s="85"/>
      <c r="J15" s="85"/>
      <c r="K15" s="96"/>
      <c r="L15" s="85"/>
      <c r="N15" s="97"/>
      <c r="O15" s="85"/>
      <c r="P15" s="85"/>
      <c r="Q15" s="85"/>
      <c r="R15" s="85"/>
      <c r="S15" s="85"/>
      <c r="T15" s="85"/>
      <c r="U15" s="85"/>
      <c r="V15" s="85"/>
      <c r="W15" s="85"/>
      <c r="X15" s="98"/>
    </row>
    <row r="16" spans="1:24" ht="15">
      <c r="A16" s="94"/>
      <c r="B16" s="205" t="s">
        <v>100</v>
      </c>
      <c r="C16" s="205"/>
      <c r="D16" s="205"/>
      <c r="E16" s="205"/>
      <c r="F16" s="205"/>
      <c r="G16" s="205"/>
      <c r="H16" s="101" t="s">
        <v>101</v>
      </c>
      <c r="I16" s="206" t="s">
        <v>102</v>
      </c>
      <c r="J16" s="207"/>
      <c r="K16" s="96"/>
      <c r="L16" s="85"/>
      <c r="N16" s="97"/>
      <c r="O16" s="205" t="s">
        <v>100</v>
      </c>
      <c r="P16" s="205"/>
      <c r="Q16" s="205"/>
      <c r="R16" s="205"/>
      <c r="S16" s="205"/>
      <c r="T16" s="205"/>
      <c r="U16" s="101" t="s">
        <v>101</v>
      </c>
      <c r="V16" s="206" t="s">
        <v>102</v>
      </c>
      <c r="W16" s="207"/>
      <c r="X16" s="98"/>
    </row>
    <row r="17" spans="1:24" ht="15">
      <c r="A17" s="94"/>
      <c r="B17" s="208" t="s">
        <v>218</v>
      </c>
      <c r="C17" s="209"/>
      <c r="D17" s="209"/>
      <c r="E17" s="209"/>
      <c r="F17" s="209"/>
      <c r="G17" s="210"/>
      <c r="H17" s="103">
        <v>4</v>
      </c>
      <c r="I17" s="208" t="s">
        <v>218</v>
      </c>
      <c r="J17" s="210"/>
      <c r="K17" s="96"/>
      <c r="L17" s="85"/>
      <c r="N17" s="97"/>
      <c r="O17" s="211" t="str">
        <f>+B17</f>
        <v>YYYYYY</v>
      </c>
      <c r="P17" s="212"/>
      <c r="Q17" s="212"/>
      <c r="R17" s="212"/>
      <c r="S17" s="212"/>
      <c r="T17" s="213"/>
      <c r="U17" s="103">
        <f>+H17</f>
        <v>4</v>
      </c>
      <c r="V17" s="211" t="str">
        <f>+I17</f>
        <v>YYYYYY</v>
      </c>
      <c r="W17" s="213"/>
      <c r="X17" s="98"/>
    </row>
    <row r="18" spans="1:24" ht="15">
      <c r="A18" s="94"/>
      <c r="B18" s="85"/>
      <c r="C18" s="85"/>
      <c r="D18" s="85"/>
      <c r="E18" s="85"/>
      <c r="F18" s="85"/>
      <c r="G18" s="85"/>
      <c r="H18" s="85"/>
      <c r="I18" s="85"/>
      <c r="J18" s="85"/>
      <c r="K18" s="96"/>
      <c r="L18" s="85"/>
      <c r="N18" s="97"/>
      <c r="O18" s="85"/>
      <c r="P18" s="85"/>
      <c r="Q18" s="85"/>
      <c r="R18" s="85"/>
      <c r="S18" s="85"/>
      <c r="T18" s="85"/>
      <c r="U18" s="85"/>
      <c r="V18" s="85"/>
      <c r="W18" s="85"/>
      <c r="X18" s="98"/>
    </row>
    <row r="19" spans="1:24" ht="15">
      <c r="A19" s="94"/>
      <c r="B19" s="216" t="s">
        <v>103</v>
      </c>
      <c r="C19" s="217"/>
      <c r="D19" s="217"/>
      <c r="E19" s="217"/>
      <c r="F19" s="217"/>
      <c r="G19" s="217"/>
      <c r="H19" s="218"/>
      <c r="I19" s="219" t="s">
        <v>104</v>
      </c>
      <c r="J19" s="220"/>
      <c r="K19" s="96"/>
      <c r="L19" s="85"/>
      <c r="N19" s="97"/>
      <c r="O19" s="216" t="s">
        <v>103</v>
      </c>
      <c r="P19" s="217"/>
      <c r="Q19" s="217"/>
      <c r="R19" s="217"/>
      <c r="S19" s="217"/>
      <c r="T19" s="217"/>
      <c r="U19" s="218"/>
      <c r="V19" s="219" t="s">
        <v>104</v>
      </c>
      <c r="W19" s="220"/>
      <c r="X19" s="98"/>
    </row>
    <row r="20" spans="1:24" ht="15">
      <c r="A20" s="94"/>
      <c r="B20" s="200" t="s">
        <v>105</v>
      </c>
      <c r="C20" s="201"/>
      <c r="D20" s="201"/>
      <c r="E20" s="201"/>
      <c r="F20" s="201"/>
      <c r="G20" s="201"/>
      <c r="H20" s="202"/>
      <c r="I20" s="203" t="str">
        <f>+IF(YEAR(B27)=G27,IF(MONTH(B27)=F27,"Años: 0 Meses: 0 Días: "&amp;VLOOKUP(MONTH(B27),'[1]DATOS RURAL'!$K$23:$L$34,2,0)-DAY(B27),"Años: 0 Meses: "&amp;F27-MONTH(B27)&amp;" Días: "&amp;VLOOKUP(MONTH(B27),'[1]DATOS RURAL'!$K$23:$L$34,2,0)-DAY(B27)),IF(MONTH(B27)&gt;F27,"Años: "&amp;G27-YEAR(B27)-1&amp;" Meses: "&amp;12-MONTH(B27)+F27&amp;" Días: "&amp;VLOOKUP(MONTH(B27),'[1]DATOS RURAL'!$K$23:$L$34,2,0)-DAY(B27),"Años: "&amp;G27-YEAR(B27)&amp;" Meses: "&amp;-MONTH(B27)+F27&amp;" Días: "&amp;VLOOKUP(MONTH(B27),'[1]DATOS RURAL'!$K$23:$L$34,2,0)-DAY(B27)))</f>
        <v>Años: 3 Meses: 2 Días: 30</v>
      </c>
      <c r="J20" s="204"/>
      <c r="K20" s="96"/>
      <c r="L20" s="85"/>
      <c r="N20" s="97"/>
      <c r="O20" s="200" t="str">
        <f>+B20</f>
        <v>PEÓN GENERAL</v>
      </c>
      <c r="P20" s="201"/>
      <c r="Q20" s="201"/>
      <c r="R20" s="201"/>
      <c r="S20" s="201"/>
      <c r="T20" s="201"/>
      <c r="U20" s="202"/>
      <c r="V20" s="203" t="str">
        <f>+I20</f>
        <v>Años: 3 Meses: 2 Días: 30</v>
      </c>
      <c r="W20" s="204"/>
      <c r="X20" s="98"/>
    </row>
    <row r="21" spans="1:24" ht="15">
      <c r="A21" s="94"/>
      <c r="B21" s="85"/>
      <c r="C21" s="85"/>
      <c r="D21" s="85"/>
      <c r="E21" s="85"/>
      <c r="F21" s="85"/>
      <c r="G21" s="85"/>
      <c r="H21" s="85"/>
      <c r="I21" s="85"/>
      <c r="J21" s="85"/>
      <c r="K21" s="96"/>
      <c r="L21" s="85"/>
      <c r="N21" s="97"/>
      <c r="O21" s="85"/>
      <c r="P21" s="85"/>
      <c r="Q21" s="85"/>
      <c r="R21" s="85"/>
      <c r="S21" s="85"/>
      <c r="T21" s="85"/>
      <c r="U21" s="85"/>
      <c r="V21" s="85"/>
      <c r="W21" s="85"/>
      <c r="X21" s="98"/>
    </row>
    <row r="22" spans="1:24" ht="15">
      <c r="A22" s="94"/>
      <c r="B22" s="206" t="s">
        <v>106</v>
      </c>
      <c r="C22" s="214"/>
      <c r="D22" s="214"/>
      <c r="E22" s="214"/>
      <c r="F22" s="214"/>
      <c r="G22" s="214"/>
      <c r="H22" s="214"/>
      <c r="I22" s="214"/>
      <c r="J22" s="207"/>
      <c r="K22" s="96"/>
      <c r="L22" s="85"/>
      <c r="N22" s="97"/>
      <c r="O22" s="206" t="s">
        <v>106</v>
      </c>
      <c r="P22" s="214"/>
      <c r="Q22" s="214"/>
      <c r="R22" s="214"/>
      <c r="S22" s="214"/>
      <c r="T22" s="214"/>
      <c r="U22" s="214"/>
      <c r="V22" s="214"/>
      <c r="W22" s="207"/>
      <c r="X22" s="98"/>
    </row>
    <row r="23" spans="1:24" ht="15">
      <c r="A23" s="94"/>
      <c r="B23" s="228" t="s">
        <v>107</v>
      </c>
      <c r="C23" s="229"/>
      <c r="D23" s="229"/>
      <c r="E23" s="229"/>
      <c r="F23" s="229"/>
      <c r="G23" s="229"/>
      <c r="H23" s="229"/>
      <c r="I23" s="105"/>
      <c r="J23" s="106"/>
      <c r="K23" s="96"/>
      <c r="L23" s="85"/>
      <c r="N23" s="97"/>
      <c r="O23" s="228" t="s">
        <v>107</v>
      </c>
      <c r="P23" s="229"/>
      <c r="Q23" s="229"/>
      <c r="R23" s="229"/>
      <c r="S23" s="229"/>
      <c r="T23" s="229"/>
      <c r="U23" s="229"/>
      <c r="V23" s="105"/>
      <c r="W23" s="106"/>
      <c r="X23" s="98"/>
    </row>
    <row r="24" spans="1:24" ht="15">
      <c r="A24" s="94"/>
      <c r="B24" s="107"/>
      <c r="C24" s="107"/>
      <c r="D24" s="107"/>
      <c r="E24" s="108"/>
      <c r="F24" s="108"/>
      <c r="G24" s="108"/>
      <c r="H24" s="107"/>
      <c r="I24" s="85"/>
      <c r="J24" s="85"/>
      <c r="K24" s="96"/>
      <c r="L24" s="85"/>
      <c r="N24" s="97"/>
      <c r="O24" s="85"/>
      <c r="P24" s="85"/>
      <c r="Q24" s="85"/>
      <c r="R24" s="85"/>
      <c r="S24" s="85"/>
      <c r="T24" s="85"/>
      <c r="U24" s="85"/>
      <c r="V24" s="85"/>
      <c r="W24" s="85"/>
      <c r="X24" s="98"/>
    </row>
    <row r="25" spans="1:24" ht="15">
      <c r="A25" s="94"/>
      <c r="B25" s="230" t="s">
        <v>108</v>
      </c>
      <c r="C25" s="231"/>
      <c r="D25" s="232"/>
      <c r="E25" s="205" t="s">
        <v>109</v>
      </c>
      <c r="F25" s="205"/>
      <c r="G25" s="205"/>
      <c r="H25" s="206" t="s">
        <v>110</v>
      </c>
      <c r="I25" s="214"/>
      <c r="J25" s="207"/>
      <c r="K25" s="96"/>
      <c r="L25" s="85"/>
      <c r="N25" s="97"/>
      <c r="O25" s="215" t="s">
        <v>108</v>
      </c>
      <c r="P25" s="215"/>
      <c r="Q25" s="215"/>
      <c r="R25" s="205" t="s">
        <v>109</v>
      </c>
      <c r="S25" s="205"/>
      <c r="T25" s="205"/>
      <c r="U25" s="206" t="s">
        <v>110</v>
      </c>
      <c r="V25" s="214"/>
      <c r="W25" s="207"/>
      <c r="X25" s="98"/>
    </row>
    <row r="26" spans="1:24" ht="15">
      <c r="A26" s="94"/>
      <c r="B26" s="102" t="s">
        <v>111</v>
      </c>
      <c r="C26" s="104" t="s">
        <v>112</v>
      </c>
      <c r="D26" s="101" t="s">
        <v>113</v>
      </c>
      <c r="E26" s="109" t="s">
        <v>114</v>
      </c>
      <c r="F26" s="100" t="s">
        <v>112</v>
      </c>
      <c r="G26" s="100" t="s">
        <v>113</v>
      </c>
      <c r="H26" s="100" t="s">
        <v>115</v>
      </c>
      <c r="I26" s="100" t="s">
        <v>116</v>
      </c>
      <c r="J26" s="100" t="s">
        <v>117</v>
      </c>
      <c r="K26" s="96"/>
      <c r="L26" s="85"/>
      <c r="N26" s="97"/>
      <c r="O26" s="102" t="s">
        <v>111</v>
      </c>
      <c r="P26" s="104" t="s">
        <v>112</v>
      </c>
      <c r="Q26" s="101" t="s">
        <v>113</v>
      </c>
      <c r="R26" s="109" t="s">
        <v>114</v>
      </c>
      <c r="S26" s="100" t="s">
        <v>112</v>
      </c>
      <c r="T26" s="100" t="s">
        <v>113</v>
      </c>
      <c r="U26" s="100" t="s">
        <v>115</v>
      </c>
      <c r="V26" s="100" t="s">
        <v>116</v>
      </c>
      <c r="W26" s="100" t="s">
        <v>117</v>
      </c>
      <c r="X26" s="98"/>
    </row>
    <row r="27" spans="1:24" ht="15">
      <c r="A27" s="94"/>
      <c r="B27" s="221">
        <v>43525</v>
      </c>
      <c r="C27" s="209"/>
      <c r="D27" s="222"/>
      <c r="E27" s="110" t="s">
        <v>118</v>
      </c>
      <c r="F27" s="188">
        <v>5</v>
      </c>
      <c r="G27" s="189">
        <v>2022</v>
      </c>
      <c r="H27" s="190">
        <v>44653</v>
      </c>
      <c r="I27" s="191">
        <v>44654</v>
      </c>
      <c r="J27" s="111" t="s">
        <v>119</v>
      </c>
      <c r="K27" s="96"/>
      <c r="L27" s="85"/>
      <c r="N27" s="97"/>
      <c r="O27" s="223">
        <f>+B27</f>
        <v>43525</v>
      </c>
      <c r="P27" s="212"/>
      <c r="Q27" s="224"/>
      <c r="R27" s="110" t="str">
        <f aca="true" t="shared" si="0" ref="R27:W27">+E27</f>
        <v>MENSUAL</v>
      </c>
      <c r="S27" s="111">
        <f t="shared" si="0"/>
        <v>5</v>
      </c>
      <c r="T27" s="111">
        <f t="shared" si="0"/>
        <v>2022</v>
      </c>
      <c r="U27" s="112">
        <f t="shared" si="0"/>
        <v>44653</v>
      </c>
      <c r="V27" s="113">
        <f t="shared" si="0"/>
        <v>44654</v>
      </c>
      <c r="W27" s="112" t="str">
        <f t="shared" si="0"/>
        <v>PROVINCIA</v>
      </c>
      <c r="X27" s="98"/>
    </row>
    <row r="28" spans="1:24" ht="15">
      <c r="A28" s="94"/>
      <c r="B28" s="85"/>
      <c r="C28" s="85"/>
      <c r="D28" s="85"/>
      <c r="E28" s="85"/>
      <c r="F28" s="85"/>
      <c r="G28" s="85"/>
      <c r="H28" s="85"/>
      <c r="I28" s="85"/>
      <c r="J28" s="85"/>
      <c r="K28" s="96"/>
      <c r="L28" s="85"/>
      <c r="N28" s="97"/>
      <c r="O28" s="85"/>
      <c r="P28" s="85"/>
      <c r="Q28" s="85"/>
      <c r="R28" s="85"/>
      <c r="S28" s="85"/>
      <c r="T28" s="85"/>
      <c r="U28" s="85"/>
      <c r="V28" s="85"/>
      <c r="W28" s="85"/>
      <c r="X28" s="98"/>
    </row>
    <row r="29" spans="1:24" ht="15">
      <c r="A29" s="94"/>
      <c r="B29" s="225" t="s">
        <v>120</v>
      </c>
      <c r="C29" s="226"/>
      <c r="D29" s="226"/>
      <c r="E29" s="226"/>
      <c r="F29" s="226"/>
      <c r="G29" s="227"/>
      <c r="H29" s="100" t="s">
        <v>121</v>
      </c>
      <c r="I29" s="100" t="s">
        <v>122</v>
      </c>
      <c r="J29" s="100" t="s">
        <v>123</v>
      </c>
      <c r="K29" s="96"/>
      <c r="L29" s="85"/>
      <c r="N29" s="97"/>
      <c r="O29" s="225" t="s">
        <v>120</v>
      </c>
      <c r="P29" s="226"/>
      <c r="Q29" s="226"/>
      <c r="R29" s="226"/>
      <c r="S29" s="226"/>
      <c r="T29" s="227"/>
      <c r="U29" s="100" t="s">
        <v>121</v>
      </c>
      <c r="V29" s="100" t="s">
        <v>122</v>
      </c>
      <c r="W29" s="100" t="s">
        <v>123</v>
      </c>
      <c r="X29" s="98"/>
    </row>
    <row r="30" spans="1:24" ht="15">
      <c r="A30" s="94"/>
      <c r="B30" s="114">
        <f>+IF(F27=10,"DIA EMPLEADO RURAL",IF(AND(F27=8,G27=2014),"OJO ANTIGÜEDAD",""))</f>
      </c>
      <c r="C30" s="85"/>
      <c r="D30" s="85"/>
      <c r="E30" s="85"/>
      <c r="F30" s="85"/>
      <c r="G30" s="115"/>
      <c r="H30" s="116"/>
      <c r="I30" s="116"/>
      <c r="J30" s="116"/>
      <c r="K30" s="96"/>
      <c r="L30" s="85"/>
      <c r="N30" s="97"/>
      <c r="O30" s="85">
        <f aca="true" t="shared" si="1" ref="O30:O38">+B30</f>
      </c>
      <c r="P30" s="85"/>
      <c r="Q30" s="85"/>
      <c r="R30" s="85"/>
      <c r="S30" s="85"/>
      <c r="T30" s="115"/>
      <c r="U30" s="117">
        <f>+IF(H30&lt;&gt;"",H30,"")</f>
      </c>
      <c r="V30" s="116"/>
      <c r="W30" s="116"/>
      <c r="X30" s="98"/>
    </row>
    <row r="31" spans="1:24" ht="15">
      <c r="A31" s="94"/>
      <c r="B31" s="85" t="s">
        <v>124</v>
      </c>
      <c r="C31" s="85"/>
      <c r="D31" s="85"/>
      <c r="E31" s="85"/>
      <c r="F31" s="85"/>
      <c r="G31" s="118"/>
      <c r="H31" s="119">
        <f>52570+7790</f>
        <v>60360</v>
      </c>
      <c r="I31" s="117"/>
      <c r="J31" s="117"/>
      <c r="K31" s="96"/>
      <c r="L31" s="85"/>
      <c r="N31" s="97"/>
      <c r="O31" s="85" t="str">
        <f t="shared" si="1"/>
        <v>SUELDO BÁSICO</v>
      </c>
      <c r="P31" s="85"/>
      <c r="Q31" s="85"/>
      <c r="R31" s="85"/>
      <c r="S31" s="85"/>
      <c r="T31" s="118"/>
      <c r="U31" s="117">
        <f>+IF(H31&lt;&gt;"",H31,"")</f>
        <v>60360</v>
      </c>
      <c r="V31" s="117">
        <f>+IF(I31&lt;&gt;"",I31,"")</f>
      </c>
      <c r="W31" s="117">
        <f>+IF(J31&lt;&gt;"",J31,"")</f>
      </c>
      <c r="X31" s="98"/>
    </row>
    <row r="32" spans="1:24" ht="15">
      <c r="A32" s="94"/>
      <c r="B32" s="85" t="s">
        <v>104</v>
      </c>
      <c r="C32" s="85"/>
      <c r="D32" s="85"/>
      <c r="E32" s="85"/>
      <c r="F32" s="85"/>
      <c r="G32" s="118"/>
      <c r="H32" s="117">
        <f>+ROUND(IF(G27-YEAR(B27)-1&gt;10,(H31)*1.5%*(G27-YEAR(B27)),(H31)*1%*(G27-YEAR(B27))),2)</f>
        <v>1810.8</v>
      </c>
      <c r="I32" s="117"/>
      <c r="J32" s="117"/>
      <c r="K32" s="96"/>
      <c r="L32" s="85"/>
      <c r="N32" s="97"/>
      <c r="O32" s="85" t="str">
        <f t="shared" si="1"/>
        <v>ANTIGÜEDAD</v>
      </c>
      <c r="P32" s="85"/>
      <c r="Q32" s="85"/>
      <c r="R32" s="85"/>
      <c r="S32" s="85"/>
      <c r="T32" s="118"/>
      <c r="U32" s="117">
        <f>+IF(H32&lt;&gt;"",H32,"")</f>
        <v>1810.8</v>
      </c>
      <c r="V32" s="117"/>
      <c r="W32" s="117"/>
      <c r="X32" s="98"/>
    </row>
    <row r="33" spans="1:24" ht="15">
      <c r="A33" s="94"/>
      <c r="B33" s="85"/>
      <c r="C33" s="85"/>
      <c r="D33" s="85"/>
      <c r="E33" s="85"/>
      <c r="F33" s="85"/>
      <c r="G33" s="118"/>
      <c r="H33" s="117"/>
      <c r="I33" s="117"/>
      <c r="J33" s="117"/>
      <c r="K33" s="96"/>
      <c r="L33" s="85"/>
      <c r="N33" s="97"/>
      <c r="O33" s="85"/>
      <c r="P33" s="85"/>
      <c r="Q33" s="85"/>
      <c r="R33" s="85"/>
      <c r="S33" s="85"/>
      <c r="T33" s="118"/>
      <c r="U33" s="117">
        <f>+IF(H33&lt;&gt;"",H33,"")</f>
      </c>
      <c r="V33" s="117"/>
      <c r="W33" s="117"/>
      <c r="X33" s="98"/>
    </row>
    <row r="34" spans="1:24" ht="15">
      <c r="A34" s="94"/>
      <c r="B34" s="85" t="s">
        <v>17</v>
      </c>
      <c r="C34" s="85"/>
      <c r="D34" s="85"/>
      <c r="E34" s="85"/>
      <c r="F34" s="85"/>
      <c r="G34" s="120">
        <v>0.11</v>
      </c>
      <c r="H34" s="117"/>
      <c r="I34" s="117"/>
      <c r="J34" s="117">
        <f>+ROUND($H$41*G34,2)</f>
        <v>6838.79</v>
      </c>
      <c r="K34" s="96"/>
      <c r="L34" s="85"/>
      <c r="N34" s="97"/>
      <c r="O34" s="85" t="str">
        <f t="shared" si="1"/>
        <v>JUBILACIÓN</v>
      </c>
      <c r="P34" s="85"/>
      <c r="Q34" s="85"/>
      <c r="R34" s="85"/>
      <c r="S34" s="85"/>
      <c r="T34" s="118"/>
      <c r="U34" s="117">
        <f aca="true" t="shared" si="2" ref="U34:V38">+IF(H34&lt;&gt;"",H34,"")</f>
      </c>
      <c r="V34" s="117">
        <f t="shared" si="2"/>
      </c>
      <c r="W34" s="117">
        <f>+IF(J34&lt;&gt;"",J34,"")</f>
        <v>6838.79</v>
      </c>
      <c r="X34" s="98"/>
    </row>
    <row r="35" spans="1:24" ht="15">
      <c r="A35" s="94"/>
      <c r="B35" s="85" t="s">
        <v>125</v>
      </c>
      <c r="C35" s="85"/>
      <c r="D35" s="85"/>
      <c r="E35" s="85"/>
      <c r="F35" s="85"/>
      <c r="G35" s="120">
        <v>0.03</v>
      </c>
      <c r="H35" s="117"/>
      <c r="I35" s="117"/>
      <c r="J35" s="117">
        <f>+ROUND($H$41*G35,2)</f>
        <v>1865.12</v>
      </c>
      <c r="K35" s="96"/>
      <c r="L35" s="85"/>
      <c r="N35" s="97"/>
      <c r="O35" s="85" t="str">
        <f t="shared" si="1"/>
        <v>LEY 19.032</v>
      </c>
      <c r="P35" s="85"/>
      <c r="Q35" s="85"/>
      <c r="R35" s="85"/>
      <c r="S35" s="85"/>
      <c r="T35" s="118"/>
      <c r="U35" s="117">
        <f t="shared" si="2"/>
      </c>
      <c r="V35" s="117">
        <f t="shared" si="2"/>
      </c>
      <c r="W35" s="117">
        <f>+IF(J35&lt;&gt;"",J35,"")</f>
        <v>1865.12</v>
      </c>
      <c r="X35" s="98"/>
    </row>
    <row r="36" spans="1:24" ht="15">
      <c r="A36" s="94"/>
      <c r="B36" s="85" t="s">
        <v>126</v>
      </c>
      <c r="C36" s="85"/>
      <c r="D36" s="85"/>
      <c r="E36" s="85"/>
      <c r="F36" s="85"/>
      <c r="G36" s="120">
        <v>0.03</v>
      </c>
      <c r="H36" s="117"/>
      <c r="I36" s="117"/>
      <c r="J36" s="117">
        <f>+ROUND($H$41*G36,2)</f>
        <v>1865.12</v>
      </c>
      <c r="K36" s="96"/>
      <c r="L36" s="85"/>
      <c r="N36" s="97"/>
      <c r="O36" s="85" t="str">
        <f t="shared" si="1"/>
        <v>OBRA SOCIAL </v>
      </c>
      <c r="P36" s="85"/>
      <c r="Q36" s="85"/>
      <c r="R36" s="85"/>
      <c r="S36" s="85"/>
      <c r="T36" s="118"/>
      <c r="U36" s="117">
        <f t="shared" si="2"/>
      </c>
      <c r="V36" s="117">
        <f t="shared" si="2"/>
      </c>
      <c r="W36" s="117">
        <f>+IF(J36&lt;&gt;"",J36,"")</f>
        <v>1865.12</v>
      </c>
      <c r="X36" s="98"/>
    </row>
    <row r="37" spans="1:24" ht="15">
      <c r="A37" s="94"/>
      <c r="B37" s="85" t="s">
        <v>127</v>
      </c>
      <c r="C37" s="85"/>
      <c r="D37" s="85"/>
      <c r="E37" s="85"/>
      <c r="F37" s="85"/>
      <c r="G37" s="120">
        <v>0.02</v>
      </c>
      <c r="H37" s="117"/>
      <c r="I37" s="117"/>
      <c r="J37" s="117">
        <f>+ROUND($H$41*G37,2)</f>
        <v>1243.42</v>
      </c>
      <c r="K37" s="96"/>
      <c r="L37" s="85"/>
      <c r="N37" s="97"/>
      <c r="O37" s="85" t="str">
        <f t="shared" si="1"/>
        <v>SINDICATO (U.A.T.R.E.)</v>
      </c>
      <c r="P37" s="85"/>
      <c r="Q37" s="85"/>
      <c r="R37" s="85"/>
      <c r="S37" s="85"/>
      <c r="T37" s="118"/>
      <c r="U37" s="117">
        <f t="shared" si="2"/>
      </c>
      <c r="V37" s="117">
        <f t="shared" si="2"/>
      </c>
      <c r="W37" s="117">
        <f>+IF(J37&lt;&gt;"",J37,"")</f>
        <v>1243.42</v>
      </c>
      <c r="X37" s="98"/>
    </row>
    <row r="38" spans="1:24" ht="15">
      <c r="A38" s="94"/>
      <c r="B38" s="85" t="s">
        <v>128</v>
      </c>
      <c r="C38" s="85"/>
      <c r="D38" s="85"/>
      <c r="E38" s="85"/>
      <c r="F38" s="85"/>
      <c r="G38" s="120">
        <v>0.015</v>
      </c>
      <c r="H38" s="117"/>
      <c r="I38" s="117"/>
      <c r="J38" s="117">
        <f>+ROUND($H$41*G38,2)</f>
        <v>932.56</v>
      </c>
      <c r="K38" s="96"/>
      <c r="L38" s="85"/>
      <c r="N38" s="97"/>
      <c r="O38" s="85" t="str">
        <f t="shared" si="1"/>
        <v>SEGURO DE SEPELIO</v>
      </c>
      <c r="P38" s="85"/>
      <c r="Q38" s="85"/>
      <c r="R38" s="85"/>
      <c r="S38" s="85"/>
      <c r="T38" s="118"/>
      <c r="U38" s="117">
        <f t="shared" si="2"/>
      </c>
      <c r="V38" s="117">
        <f t="shared" si="2"/>
      </c>
      <c r="W38" s="117">
        <f>+IF(J38&lt;&gt;"",J38,"")</f>
        <v>932.56</v>
      </c>
      <c r="X38" s="98"/>
    </row>
    <row r="39" spans="1:24" ht="15">
      <c r="A39" s="94"/>
      <c r="B39" s="85"/>
      <c r="C39" s="85"/>
      <c r="D39" s="85"/>
      <c r="E39" s="85"/>
      <c r="F39" s="85"/>
      <c r="G39" s="121"/>
      <c r="H39" s="122"/>
      <c r="I39" s="122"/>
      <c r="J39" s="122"/>
      <c r="K39" s="96"/>
      <c r="L39" s="85"/>
      <c r="N39" s="97"/>
      <c r="O39" s="85"/>
      <c r="P39" s="85"/>
      <c r="Q39" s="85"/>
      <c r="R39" s="85"/>
      <c r="S39" s="85"/>
      <c r="T39" s="121"/>
      <c r="U39" s="122"/>
      <c r="V39" s="122"/>
      <c r="W39" s="122"/>
      <c r="X39" s="98"/>
    </row>
    <row r="40" spans="1:24" ht="15">
      <c r="A40" s="94"/>
      <c r="B40" s="144" t="s">
        <v>129</v>
      </c>
      <c r="C40" s="145"/>
      <c r="D40" s="145"/>
      <c r="E40" s="145"/>
      <c r="F40" s="145"/>
      <c r="G40" s="146"/>
      <c r="H40" s="100" t="s">
        <v>130</v>
      </c>
      <c r="I40" s="100" t="s">
        <v>131</v>
      </c>
      <c r="J40" s="100" t="s">
        <v>123</v>
      </c>
      <c r="K40" s="96"/>
      <c r="L40" s="85"/>
      <c r="N40" s="97"/>
      <c r="O40" s="144" t="s">
        <v>129</v>
      </c>
      <c r="P40" s="145"/>
      <c r="Q40" s="145"/>
      <c r="R40" s="145"/>
      <c r="S40" s="145"/>
      <c r="T40" s="146"/>
      <c r="U40" s="100" t="s">
        <v>130</v>
      </c>
      <c r="V40" s="100" t="s">
        <v>131</v>
      </c>
      <c r="W40" s="100" t="s">
        <v>123</v>
      </c>
      <c r="X40" s="98"/>
    </row>
    <row r="41" spans="1:24" ht="15">
      <c r="A41" s="94"/>
      <c r="B41" s="141" t="str">
        <f>+"CHACABUCO, "&amp;"06/"&amp;TEXT((F27+1),"00")&amp;"/2022"</f>
        <v>CHACABUCO, 06/06/2022</v>
      </c>
      <c r="C41" s="142"/>
      <c r="D41" s="142"/>
      <c r="E41" s="142"/>
      <c r="F41" s="142"/>
      <c r="G41" s="143"/>
      <c r="H41" s="123">
        <f>SUM(H30:H39)</f>
        <v>62170.8</v>
      </c>
      <c r="I41" s="123">
        <f>SUM(I30:I39)</f>
        <v>0</v>
      </c>
      <c r="J41" s="123">
        <f>SUM(J34:J39)</f>
        <v>12745.009999999998</v>
      </c>
      <c r="K41" s="96"/>
      <c r="L41" s="85"/>
      <c r="N41" s="97"/>
      <c r="O41" s="141" t="str">
        <f>+B41</f>
        <v>CHACABUCO, 06/06/2022</v>
      </c>
      <c r="P41" s="142"/>
      <c r="Q41" s="142"/>
      <c r="R41" s="142"/>
      <c r="S41" s="142"/>
      <c r="T41" s="143"/>
      <c r="U41" s="124">
        <f>+H41</f>
        <v>62170.8</v>
      </c>
      <c r="V41" s="123">
        <f>+I41</f>
        <v>0</v>
      </c>
      <c r="W41" s="123">
        <f>+J41</f>
        <v>12745.009999999998</v>
      </c>
      <c r="X41" s="98"/>
    </row>
    <row r="42" spans="1:24" ht="15">
      <c r="A42" s="94"/>
      <c r="B42" s="85"/>
      <c r="C42" s="85"/>
      <c r="D42" s="85"/>
      <c r="E42" s="85"/>
      <c r="F42" s="85"/>
      <c r="G42" s="85"/>
      <c r="H42" s="85"/>
      <c r="I42" s="85"/>
      <c r="J42" s="85"/>
      <c r="K42" s="96"/>
      <c r="L42" s="85"/>
      <c r="N42" s="97"/>
      <c r="O42" s="85"/>
      <c r="P42" s="85"/>
      <c r="Q42" s="85"/>
      <c r="R42" s="85"/>
      <c r="S42" s="85"/>
      <c r="T42" s="85"/>
      <c r="U42" s="85"/>
      <c r="V42" s="85"/>
      <c r="W42" s="85"/>
      <c r="X42" s="98"/>
    </row>
    <row r="43" spans="1:24" ht="15">
      <c r="A43" s="94"/>
      <c r="B43" s="144" t="s">
        <v>132</v>
      </c>
      <c r="C43" s="145"/>
      <c r="D43" s="145"/>
      <c r="E43" s="145"/>
      <c r="F43" s="145"/>
      <c r="G43" s="146"/>
      <c r="H43" s="100" t="s">
        <v>133</v>
      </c>
      <c r="I43" s="100" t="s">
        <v>134</v>
      </c>
      <c r="J43" s="100" t="s">
        <v>135</v>
      </c>
      <c r="K43" s="96"/>
      <c r="L43" s="85"/>
      <c r="N43" s="97"/>
      <c r="O43" s="85"/>
      <c r="P43" s="85"/>
      <c r="Q43" s="85"/>
      <c r="R43" s="85"/>
      <c r="S43" s="85"/>
      <c r="T43" s="85"/>
      <c r="V43" s="100" t="s">
        <v>134</v>
      </c>
      <c r="W43" s="100" t="s">
        <v>135</v>
      </c>
      <c r="X43" s="98"/>
    </row>
    <row r="44" spans="1:24" ht="15">
      <c r="A44" s="94"/>
      <c r="B44" s="125" t="s">
        <v>136</v>
      </c>
      <c r="C44" s="105"/>
      <c r="D44" s="105"/>
      <c r="E44" s="105"/>
      <c r="F44" s="105"/>
      <c r="G44" s="126"/>
      <c r="H44" s="127">
        <v>51369899</v>
      </c>
      <c r="I44" s="128">
        <f>+I41+H41</f>
        <v>62170.8</v>
      </c>
      <c r="J44" s="128">
        <f>+I44-J41</f>
        <v>49425.79000000001</v>
      </c>
      <c r="K44" s="96"/>
      <c r="L44" s="85"/>
      <c r="N44" s="97"/>
      <c r="O44" s="85"/>
      <c r="P44" s="85"/>
      <c r="Q44" s="85"/>
      <c r="R44" s="85"/>
      <c r="S44" s="85"/>
      <c r="T44" s="85"/>
      <c r="V44" s="128">
        <f>+I44</f>
        <v>62170.8</v>
      </c>
      <c r="W44" s="128">
        <f>+J44</f>
        <v>49425.79000000001</v>
      </c>
      <c r="X44" s="98"/>
    </row>
    <row r="45" spans="1:24" ht="15">
      <c r="A45" s="94"/>
      <c r="B45" s="85"/>
      <c r="C45" s="85"/>
      <c r="D45" s="85"/>
      <c r="E45" s="85"/>
      <c r="F45" s="85"/>
      <c r="G45" s="85"/>
      <c r="H45" s="85"/>
      <c r="I45" s="129"/>
      <c r="J45" s="85"/>
      <c r="K45" s="96"/>
      <c r="L45" s="85"/>
      <c r="N45" s="97"/>
      <c r="O45" s="85"/>
      <c r="P45" s="85"/>
      <c r="Q45" s="85"/>
      <c r="R45" s="85"/>
      <c r="S45" s="85"/>
      <c r="T45" s="85"/>
      <c r="U45" s="85"/>
      <c r="V45" s="85"/>
      <c r="W45" s="85"/>
      <c r="X45" s="98"/>
    </row>
    <row r="46" spans="1:24" ht="15">
      <c r="A46" s="94"/>
      <c r="B46" s="88" t="s">
        <v>137</v>
      </c>
      <c r="C46" s="89"/>
      <c r="D46" s="130" t="s">
        <v>204</v>
      </c>
      <c r="E46" s="89"/>
      <c r="F46" s="89"/>
      <c r="G46" s="89"/>
      <c r="H46" s="89"/>
      <c r="I46" s="89"/>
      <c r="J46" s="90"/>
      <c r="K46" s="96"/>
      <c r="L46" s="85"/>
      <c r="N46" s="97"/>
      <c r="O46" s="88" t="s">
        <v>137</v>
      </c>
      <c r="P46" s="89"/>
      <c r="Q46" s="89" t="str">
        <f>+D46</f>
        <v>CUARENTA Y NUEVE MIL CUATROCIENTOS VEINTICINCO CON 79/100</v>
      </c>
      <c r="R46" s="89"/>
      <c r="S46" s="89"/>
      <c r="T46" s="89"/>
      <c r="U46" s="89"/>
      <c r="V46" s="89"/>
      <c r="W46" s="90"/>
      <c r="X46" s="98"/>
    </row>
    <row r="47" spans="1:24" ht="15">
      <c r="A47" s="94"/>
      <c r="B47" s="147"/>
      <c r="C47" s="148"/>
      <c r="D47" s="148"/>
      <c r="E47" s="148"/>
      <c r="F47" s="148"/>
      <c r="G47" s="148"/>
      <c r="H47" s="148"/>
      <c r="I47" s="148"/>
      <c r="J47" s="149"/>
      <c r="K47" s="96"/>
      <c r="L47" s="85"/>
      <c r="N47" s="97"/>
      <c r="O47" s="147"/>
      <c r="P47" s="148"/>
      <c r="Q47" s="148"/>
      <c r="R47" s="148"/>
      <c r="S47" s="148"/>
      <c r="T47" s="148"/>
      <c r="U47" s="148"/>
      <c r="V47" s="148"/>
      <c r="W47" s="149"/>
      <c r="X47" s="98"/>
    </row>
    <row r="48" spans="1:24" ht="14.25" customHeight="1">
      <c r="A48" s="94"/>
      <c r="B48" s="85"/>
      <c r="C48" s="85"/>
      <c r="D48" s="85"/>
      <c r="E48" s="85"/>
      <c r="F48" s="85"/>
      <c r="G48" s="85"/>
      <c r="H48" s="85"/>
      <c r="I48" s="85"/>
      <c r="J48" s="85"/>
      <c r="K48" s="96"/>
      <c r="L48" s="85"/>
      <c r="N48" s="97"/>
      <c r="O48" s="85"/>
      <c r="P48" s="85"/>
      <c r="Q48" s="85"/>
      <c r="R48" s="85"/>
      <c r="S48" s="85"/>
      <c r="T48" s="85"/>
      <c r="U48" s="85"/>
      <c r="V48" s="85"/>
      <c r="W48" s="85"/>
      <c r="X48" s="98"/>
    </row>
    <row r="49" spans="1:24" ht="15">
      <c r="A49" s="94"/>
      <c r="B49" s="85"/>
      <c r="C49" s="85"/>
      <c r="D49" s="85"/>
      <c r="E49" s="85"/>
      <c r="F49" s="85"/>
      <c r="G49" s="85"/>
      <c r="H49" s="85"/>
      <c r="I49" s="85"/>
      <c r="J49" s="85"/>
      <c r="K49" s="96"/>
      <c r="L49" s="85"/>
      <c r="N49" s="97"/>
      <c r="O49" s="131" t="s">
        <v>138</v>
      </c>
      <c r="P49" s="85"/>
      <c r="Q49" s="85"/>
      <c r="R49" s="85"/>
      <c r="S49" s="85"/>
      <c r="T49" s="85"/>
      <c r="U49" s="85"/>
      <c r="V49" s="85"/>
      <c r="W49" s="85"/>
      <c r="X49" s="98"/>
    </row>
    <row r="50" spans="1:24" ht="15">
      <c r="A50" s="94"/>
      <c r="B50" s="85"/>
      <c r="C50" s="85"/>
      <c r="D50" s="85"/>
      <c r="E50" s="85"/>
      <c r="F50" s="85"/>
      <c r="G50" s="85"/>
      <c r="H50" s="85"/>
      <c r="I50" s="129"/>
      <c r="J50" s="85"/>
      <c r="K50" s="96"/>
      <c r="L50" s="85"/>
      <c r="N50" s="97"/>
      <c r="O50" s="131" t="s">
        <v>139</v>
      </c>
      <c r="P50" s="85"/>
      <c r="Q50" s="85"/>
      <c r="R50" s="85"/>
      <c r="S50" s="85"/>
      <c r="T50" s="85"/>
      <c r="U50" s="85"/>
      <c r="V50" s="85"/>
      <c r="W50" s="85"/>
      <c r="X50" s="98"/>
    </row>
    <row r="51" spans="1:24" ht="15.75" thickBot="1">
      <c r="A51" s="94"/>
      <c r="B51" s="85"/>
      <c r="C51" s="85"/>
      <c r="D51" s="85"/>
      <c r="E51" s="132"/>
      <c r="F51" s="132"/>
      <c r="G51" s="132"/>
      <c r="H51" s="85"/>
      <c r="I51" s="133"/>
      <c r="J51" s="85"/>
      <c r="K51" s="96"/>
      <c r="L51" s="85"/>
      <c r="N51" s="97"/>
      <c r="O51" s="85"/>
      <c r="P51" s="85"/>
      <c r="Q51" s="85"/>
      <c r="R51" s="85"/>
      <c r="S51" s="85"/>
      <c r="T51" s="85"/>
      <c r="U51" s="85"/>
      <c r="V51" s="133"/>
      <c r="W51" s="85"/>
      <c r="X51" s="98"/>
    </row>
    <row r="52" spans="1:24" ht="15">
      <c r="A52" s="94"/>
      <c r="B52" s="85"/>
      <c r="C52" s="85"/>
      <c r="D52" s="85"/>
      <c r="E52" s="150" t="s">
        <v>140</v>
      </c>
      <c r="F52" s="150"/>
      <c r="G52" s="150"/>
      <c r="H52" s="85"/>
      <c r="I52" s="134" t="s">
        <v>141</v>
      </c>
      <c r="J52" s="85"/>
      <c r="K52" s="96"/>
      <c r="L52" s="85"/>
      <c r="N52" s="97"/>
      <c r="O52" s="85"/>
      <c r="P52" s="85"/>
      <c r="Q52" s="85"/>
      <c r="R52" s="85"/>
      <c r="S52" s="85"/>
      <c r="T52" s="85"/>
      <c r="U52" s="85"/>
      <c r="V52" s="134" t="s">
        <v>141</v>
      </c>
      <c r="W52" s="85"/>
      <c r="X52" s="98"/>
    </row>
    <row r="53" spans="1:24" ht="15">
      <c r="A53" s="135"/>
      <c r="B53" s="87"/>
      <c r="C53" s="87"/>
      <c r="D53" s="87"/>
      <c r="E53" s="87"/>
      <c r="F53" s="87"/>
      <c r="G53" s="87"/>
      <c r="H53" s="87"/>
      <c r="I53" s="87"/>
      <c r="J53" s="87"/>
      <c r="K53" s="136"/>
      <c r="L53" s="85"/>
      <c r="N53" s="137"/>
      <c r="O53" s="138"/>
      <c r="P53" s="138"/>
      <c r="Q53" s="138"/>
      <c r="R53" s="138"/>
      <c r="S53" s="138"/>
      <c r="T53" s="138"/>
      <c r="U53" s="138"/>
      <c r="V53" s="138"/>
      <c r="W53" s="138"/>
      <c r="X53" s="139"/>
    </row>
  </sheetData>
  <sheetProtection/>
  <mergeCells count="30">
    <mergeCell ref="B27:D27"/>
    <mergeCell ref="O27:Q27"/>
    <mergeCell ref="B29:G29"/>
    <mergeCell ref="O29:T29"/>
    <mergeCell ref="B22:J22"/>
    <mergeCell ref="O22:W22"/>
    <mergeCell ref="B23:H23"/>
    <mergeCell ref="O23:U23"/>
    <mergeCell ref="B25:D25"/>
    <mergeCell ref="E25:G25"/>
    <mergeCell ref="H25:J25"/>
    <mergeCell ref="O25:Q25"/>
    <mergeCell ref="R25:T25"/>
    <mergeCell ref="U25:W25"/>
    <mergeCell ref="B19:H19"/>
    <mergeCell ref="I19:J19"/>
    <mergeCell ref="O19:U19"/>
    <mergeCell ref="V19:W19"/>
    <mergeCell ref="B20:H20"/>
    <mergeCell ref="I20:J20"/>
    <mergeCell ref="O20:U20"/>
    <mergeCell ref="V20:W20"/>
    <mergeCell ref="B16:G16"/>
    <mergeCell ref="I16:J16"/>
    <mergeCell ref="O16:T16"/>
    <mergeCell ref="V16:W16"/>
    <mergeCell ref="B17:G17"/>
    <mergeCell ref="I17:J17"/>
    <mergeCell ref="O17:T17"/>
    <mergeCell ref="V17:W17"/>
  </mergeCells>
  <printOptions/>
  <pageMargins left="0.15748031496062992" right="0.15748031496062992" top="0.6299212598425197" bottom="0.7480314960629921" header="0.31496062992125984" footer="0.31496062992125984"/>
  <pageSetup fitToWidth="2" fitToHeight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="75" zoomScaleNormal="75" zoomScalePageLayoutView="0" workbookViewId="0" topLeftCell="A1">
      <selection activeCell="D10" sqref="D10:D13"/>
    </sheetView>
  </sheetViews>
  <sheetFormatPr defaultColWidth="9.00390625" defaultRowHeight="15"/>
  <cols>
    <col min="1" max="1" width="1.7109375" style="82" customWidth="1"/>
    <col min="2" max="2" width="8.00390625" style="82" customWidth="1"/>
    <col min="3" max="3" width="8.140625" style="82" customWidth="1"/>
    <col min="4" max="4" width="6.8515625" style="82" customWidth="1"/>
    <col min="5" max="5" width="10.28125" style="82" customWidth="1"/>
    <col min="6" max="6" width="7.00390625" style="82" customWidth="1"/>
    <col min="7" max="7" width="9.28125" style="82" customWidth="1"/>
    <col min="8" max="8" width="18.140625" style="82" customWidth="1"/>
    <col min="9" max="9" width="21.421875" style="82" customWidth="1"/>
    <col min="10" max="10" width="19.421875" style="82" customWidth="1"/>
    <col min="11" max="11" width="0.9921875" style="82" customWidth="1"/>
    <col min="12" max="13" width="3.57421875" style="82" customWidth="1"/>
    <col min="14" max="14" width="1.7109375" style="82" customWidth="1"/>
    <col min="15" max="16" width="8.00390625" style="82" customWidth="1"/>
    <col min="17" max="17" width="6.8515625" style="82" customWidth="1"/>
    <col min="18" max="18" width="10.28125" style="82" customWidth="1"/>
    <col min="19" max="19" width="7.00390625" style="82" customWidth="1"/>
    <col min="20" max="20" width="9.28125" style="82" customWidth="1"/>
    <col min="21" max="21" width="17.7109375" style="82" customWidth="1"/>
    <col min="22" max="22" width="21.8515625" style="82" customWidth="1"/>
    <col min="23" max="23" width="19.421875" style="82" customWidth="1"/>
    <col min="24" max="24" width="0.9921875" style="82" customWidth="1"/>
    <col min="25" max="16384" width="9.00390625" style="82" customWidth="1"/>
  </cols>
  <sheetData>
    <row r="1" spans="2:3" ht="15">
      <c r="B1" s="83" t="s">
        <v>7</v>
      </c>
      <c r="C1" s="82" t="s">
        <v>85</v>
      </c>
    </row>
    <row r="2" spans="2:3" ht="15">
      <c r="B2" s="83" t="s">
        <v>86</v>
      </c>
      <c r="C2" s="82" t="s">
        <v>87</v>
      </c>
    </row>
    <row r="3" spans="2:3" ht="15">
      <c r="B3" s="83" t="s">
        <v>88</v>
      </c>
      <c r="C3" s="82" t="s">
        <v>89</v>
      </c>
    </row>
    <row r="4" spans="2:8" ht="15">
      <c r="B4" s="83" t="s">
        <v>90</v>
      </c>
      <c r="C4" s="82" t="s">
        <v>91</v>
      </c>
      <c r="H4" s="84"/>
    </row>
    <row r="5" spans="2:8" ht="15">
      <c r="B5" s="83" t="s">
        <v>92</v>
      </c>
      <c r="C5" s="82" t="s">
        <v>93</v>
      </c>
      <c r="H5" s="85"/>
    </row>
    <row r="6" spans="2:8" ht="15">
      <c r="B6" s="86"/>
      <c r="C6" s="87"/>
      <c r="D6" s="87"/>
      <c r="E6" s="87"/>
      <c r="F6" s="87"/>
      <c r="G6" s="87"/>
      <c r="H6" s="87"/>
    </row>
    <row r="7" spans="1:24" ht="3.7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90"/>
      <c r="L7" s="85"/>
      <c r="N7" s="91"/>
      <c r="O7" s="92"/>
      <c r="P7" s="92"/>
      <c r="Q7" s="92"/>
      <c r="R7" s="92"/>
      <c r="S7" s="92"/>
      <c r="T7" s="92"/>
      <c r="U7" s="92"/>
      <c r="V7" s="92"/>
      <c r="W7" s="92"/>
      <c r="X7" s="93"/>
    </row>
    <row r="8" spans="1:24" ht="15">
      <c r="A8" s="94"/>
      <c r="B8" s="85"/>
      <c r="C8" s="85"/>
      <c r="D8" s="85"/>
      <c r="E8" s="85"/>
      <c r="F8" s="85"/>
      <c r="G8" s="85"/>
      <c r="H8" s="85"/>
      <c r="I8" s="85"/>
      <c r="J8" s="95" t="s">
        <v>94</v>
      </c>
      <c r="K8" s="96"/>
      <c r="L8" s="85"/>
      <c r="N8" s="97"/>
      <c r="O8" s="85"/>
      <c r="P8" s="85"/>
      <c r="Q8" s="85"/>
      <c r="R8" s="85"/>
      <c r="S8" s="85"/>
      <c r="T8" s="85"/>
      <c r="U8" s="85"/>
      <c r="V8" s="85"/>
      <c r="W8" s="95" t="s">
        <v>94</v>
      </c>
      <c r="X8" s="98"/>
    </row>
    <row r="9" spans="1:24" ht="15">
      <c r="A9" s="94"/>
      <c r="B9" s="85"/>
      <c r="C9" s="85"/>
      <c r="D9" s="85"/>
      <c r="E9" s="85"/>
      <c r="F9" s="85"/>
      <c r="G9" s="85"/>
      <c r="H9" s="85"/>
      <c r="I9" s="85"/>
      <c r="J9" s="95" t="s">
        <v>95</v>
      </c>
      <c r="K9" s="96"/>
      <c r="L9" s="85"/>
      <c r="N9" s="97"/>
      <c r="O9" s="85"/>
      <c r="P9" s="85"/>
      <c r="Q9" s="85"/>
      <c r="R9" s="85"/>
      <c r="S9" s="85"/>
      <c r="T9" s="85"/>
      <c r="U9" s="85"/>
      <c r="V9" s="85"/>
      <c r="W9" s="95" t="s">
        <v>96</v>
      </c>
      <c r="X9" s="98"/>
    </row>
    <row r="10" spans="1:24" ht="15">
      <c r="A10" s="94"/>
      <c r="B10" s="99" t="s">
        <v>97</v>
      </c>
      <c r="C10" s="85"/>
      <c r="D10" s="85" t="s">
        <v>220</v>
      </c>
      <c r="E10" s="85"/>
      <c r="F10" s="85"/>
      <c r="G10" s="85"/>
      <c r="H10" s="85"/>
      <c r="I10" s="85"/>
      <c r="J10" s="85"/>
      <c r="K10" s="96"/>
      <c r="L10" s="85"/>
      <c r="N10" s="97"/>
      <c r="O10" s="99" t="s">
        <v>97</v>
      </c>
      <c r="P10" s="85"/>
      <c r="Q10" s="85" t="str">
        <f>+D10</f>
        <v>AAAAAAA</v>
      </c>
      <c r="R10" s="85"/>
      <c r="S10" s="85"/>
      <c r="T10" s="85"/>
      <c r="U10" s="85"/>
      <c r="V10" s="85"/>
      <c r="W10" s="85"/>
      <c r="X10" s="98"/>
    </row>
    <row r="11" spans="1:24" ht="15">
      <c r="A11" s="94"/>
      <c r="B11" s="99" t="s">
        <v>98</v>
      </c>
      <c r="C11" s="85"/>
      <c r="D11" s="85" t="s">
        <v>221</v>
      </c>
      <c r="E11" s="85"/>
      <c r="F11" s="85"/>
      <c r="G11" s="85"/>
      <c r="H11" s="85"/>
      <c r="I11" s="85"/>
      <c r="J11" s="85"/>
      <c r="K11" s="96"/>
      <c r="L11" s="85"/>
      <c r="N11" s="97"/>
      <c r="O11" s="99" t="s">
        <v>98</v>
      </c>
      <c r="P11" s="85"/>
      <c r="Q11" s="85" t="str">
        <f>+D11</f>
        <v>XXXXXXX</v>
      </c>
      <c r="R11" s="85"/>
      <c r="S11" s="85"/>
      <c r="T11" s="85"/>
      <c r="U11" s="85"/>
      <c r="V11" s="85"/>
      <c r="W11" s="85"/>
      <c r="X11" s="98"/>
    </row>
    <row r="12" spans="1:24" ht="15">
      <c r="A12" s="94"/>
      <c r="B12" s="99" t="s">
        <v>99</v>
      </c>
      <c r="C12" s="85"/>
      <c r="D12" s="85" t="s">
        <v>221</v>
      </c>
      <c r="E12" s="85"/>
      <c r="F12" s="85"/>
      <c r="G12" s="85"/>
      <c r="H12" s="85"/>
      <c r="I12" s="85"/>
      <c r="J12" s="85"/>
      <c r="K12" s="96"/>
      <c r="L12" s="85"/>
      <c r="N12" s="97"/>
      <c r="O12" s="99" t="s">
        <v>99</v>
      </c>
      <c r="P12" s="85"/>
      <c r="Q12" s="85" t="str">
        <f>+D12</f>
        <v>XXXXXXX</v>
      </c>
      <c r="R12" s="85"/>
      <c r="S12" s="85"/>
      <c r="T12" s="85"/>
      <c r="U12" s="85"/>
      <c r="V12" s="85"/>
      <c r="W12" s="85"/>
      <c r="X12" s="98"/>
    </row>
    <row r="13" spans="1:24" ht="15">
      <c r="A13" s="94"/>
      <c r="B13" s="85"/>
      <c r="C13" s="85"/>
      <c r="D13" s="85" t="s">
        <v>221</v>
      </c>
      <c r="E13" s="85"/>
      <c r="F13" s="85"/>
      <c r="G13" s="85"/>
      <c r="H13" s="85"/>
      <c r="I13" s="85"/>
      <c r="J13" s="85"/>
      <c r="K13" s="96"/>
      <c r="L13" s="85"/>
      <c r="N13" s="97"/>
      <c r="O13" s="85"/>
      <c r="P13" s="85"/>
      <c r="Q13" s="85" t="str">
        <f>+D13</f>
        <v>XXXXXXX</v>
      </c>
      <c r="R13" s="85"/>
      <c r="S13" s="85"/>
      <c r="T13" s="85"/>
      <c r="U13" s="85"/>
      <c r="V13" s="85"/>
      <c r="W13" s="85"/>
      <c r="X13" s="98"/>
    </row>
    <row r="14" spans="1:24" ht="15">
      <c r="A14" s="94"/>
      <c r="B14" s="85"/>
      <c r="C14" s="85"/>
      <c r="D14" s="85"/>
      <c r="E14" s="85"/>
      <c r="F14" s="85"/>
      <c r="G14" s="85"/>
      <c r="H14" s="85"/>
      <c r="I14" s="85"/>
      <c r="J14" s="85"/>
      <c r="K14" s="96"/>
      <c r="L14" s="85"/>
      <c r="N14" s="97"/>
      <c r="O14" s="85"/>
      <c r="P14" s="85"/>
      <c r="Q14" s="85"/>
      <c r="R14" s="85"/>
      <c r="S14" s="85"/>
      <c r="T14" s="85"/>
      <c r="U14" s="85"/>
      <c r="V14" s="85"/>
      <c r="W14" s="85"/>
      <c r="X14" s="98"/>
    </row>
    <row r="15" spans="1:24" ht="15">
      <c r="A15" s="94"/>
      <c r="B15" s="85"/>
      <c r="C15" s="85"/>
      <c r="D15" s="85"/>
      <c r="E15" s="85"/>
      <c r="F15" s="85"/>
      <c r="G15" s="85"/>
      <c r="H15" s="85"/>
      <c r="I15" s="85"/>
      <c r="J15" s="85"/>
      <c r="K15" s="96"/>
      <c r="L15" s="85"/>
      <c r="N15" s="97"/>
      <c r="O15" s="85"/>
      <c r="P15" s="85"/>
      <c r="Q15" s="85"/>
      <c r="R15" s="85"/>
      <c r="S15" s="85"/>
      <c r="T15" s="85"/>
      <c r="U15" s="85"/>
      <c r="V15" s="85"/>
      <c r="W15" s="85"/>
      <c r="X15" s="98"/>
    </row>
    <row r="16" spans="1:24" ht="15">
      <c r="A16" s="94"/>
      <c r="B16" s="205" t="s">
        <v>100</v>
      </c>
      <c r="C16" s="205"/>
      <c r="D16" s="205"/>
      <c r="E16" s="205"/>
      <c r="F16" s="205"/>
      <c r="G16" s="205"/>
      <c r="H16" s="101" t="s">
        <v>101</v>
      </c>
      <c r="I16" s="206" t="s">
        <v>102</v>
      </c>
      <c r="J16" s="207"/>
      <c r="K16" s="96"/>
      <c r="L16" s="85"/>
      <c r="N16" s="97"/>
      <c r="O16" s="205" t="s">
        <v>100</v>
      </c>
      <c r="P16" s="205"/>
      <c r="Q16" s="205"/>
      <c r="R16" s="205"/>
      <c r="S16" s="205"/>
      <c r="T16" s="205"/>
      <c r="U16" s="101" t="s">
        <v>101</v>
      </c>
      <c r="V16" s="206" t="s">
        <v>102</v>
      </c>
      <c r="W16" s="207"/>
      <c r="X16" s="98"/>
    </row>
    <row r="17" spans="1:24" ht="15">
      <c r="A17" s="94"/>
      <c r="B17" s="208" t="s">
        <v>219</v>
      </c>
      <c r="C17" s="209"/>
      <c r="D17" s="209"/>
      <c r="E17" s="209"/>
      <c r="F17" s="209"/>
      <c r="G17" s="210"/>
      <c r="H17" s="103">
        <v>1</v>
      </c>
      <c r="I17" s="208" t="s">
        <v>217</v>
      </c>
      <c r="J17" s="210"/>
      <c r="K17" s="96"/>
      <c r="L17" s="85"/>
      <c r="N17" s="97"/>
      <c r="O17" s="211" t="str">
        <f>+B17</f>
        <v>XXXXXXXX</v>
      </c>
      <c r="P17" s="212"/>
      <c r="Q17" s="212"/>
      <c r="R17" s="212"/>
      <c r="S17" s="212"/>
      <c r="T17" s="213"/>
      <c r="U17" s="103">
        <f>+H17</f>
        <v>1</v>
      </c>
      <c r="V17" s="211" t="str">
        <f>+I17</f>
        <v>XXXXXXXXX</v>
      </c>
      <c r="W17" s="213"/>
      <c r="X17" s="98"/>
    </row>
    <row r="18" spans="1:24" ht="15">
      <c r="A18" s="94"/>
      <c r="B18" s="85"/>
      <c r="C18" s="85"/>
      <c r="D18" s="85"/>
      <c r="E18" s="85"/>
      <c r="F18" s="85"/>
      <c r="G18" s="85"/>
      <c r="H18" s="85"/>
      <c r="I18" s="85"/>
      <c r="J18" s="85"/>
      <c r="K18" s="96"/>
      <c r="L18" s="85"/>
      <c r="N18" s="97"/>
      <c r="O18" s="85"/>
      <c r="P18" s="85"/>
      <c r="Q18" s="85"/>
      <c r="R18" s="85"/>
      <c r="S18" s="85"/>
      <c r="T18" s="85"/>
      <c r="U18" s="85"/>
      <c r="V18" s="85"/>
      <c r="W18" s="85"/>
      <c r="X18" s="98"/>
    </row>
    <row r="19" spans="1:24" ht="15">
      <c r="A19" s="94"/>
      <c r="B19" s="216" t="s">
        <v>103</v>
      </c>
      <c r="C19" s="217"/>
      <c r="D19" s="217"/>
      <c r="E19" s="217"/>
      <c r="F19" s="217"/>
      <c r="G19" s="217"/>
      <c r="H19" s="218"/>
      <c r="I19" s="219" t="s">
        <v>104</v>
      </c>
      <c r="J19" s="220"/>
      <c r="K19" s="96"/>
      <c r="L19" s="85"/>
      <c r="N19" s="97"/>
      <c r="O19" s="216" t="s">
        <v>103</v>
      </c>
      <c r="P19" s="217"/>
      <c r="Q19" s="217"/>
      <c r="R19" s="217"/>
      <c r="S19" s="217"/>
      <c r="T19" s="217"/>
      <c r="U19" s="218"/>
      <c r="V19" s="219" t="s">
        <v>104</v>
      </c>
      <c r="W19" s="220"/>
      <c r="X19" s="98"/>
    </row>
    <row r="20" spans="1:24" ht="15">
      <c r="A20" s="94"/>
      <c r="B20" s="200" t="s">
        <v>142</v>
      </c>
      <c r="C20" s="201"/>
      <c r="D20" s="201"/>
      <c r="E20" s="201"/>
      <c r="F20" s="201"/>
      <c r="G20" s="201"/>
      <c r="H20" s="202"/>
      <c r="I20" s="203" t="str">
        <f>+IF(YEAR(B27)=G27,IF(MONTH(B27)=F27,"Años: 0 Meses: 0 Días: "&amp;VLOOKUP(MONTH(B27),'[2]DATOS RURAL'!$K$23:$L$34,2,0)-DAY(B27),"Años: 0 Meses: "&amp;F27-MONTH(B27)&amp;" Días: "&amp;VLOOKUP(MONTH(B27),'[2]DATOS RURAL'!$K$23:$L$34,2,0)-DAY(B27)),IF(MONTH(B27)&gt;F27,"Años: "&amp;G27-YEAR(B27)-1&amp;" Meses: "&amp;12-MONTH(B27)+F27&amp;" Días: "&amp;VLOOKUP(MONTH(B27),'[2]DATOS RURAL'!$K$23:$L$34,2,0)-DAY(B27),"Años: "&amp;G27-YEAR(B27)&amp;" Meses: "&amp;-MONTH(B27)+F27&amp;" Días: "&amp;VLOOKUP(MONTH(B27),'[2]DATOS RURAL'!$K$23:$L$34,2,0)-DAY(B27)))</f>
        <v>Años: 16 Meses: 9 Días: 27</v>
      </c>
      <c r="J20" s="204"/>
      <c r="K20" s="96"/>
      <c r="L20" s="85"/>
      <c r="N20" s="97"/>
      <c r="O20" s="200" t="str">
        <f>+B20</f>
        <v>ENCARGADO</v>
      </c>
      <c r="P20" s="201"/>
      <c r="Q20" s="201"/>
      <c r="R20" s="201"/>
      <c r="S20" s="201"/>
      <c r="T20" s="201"/>
      <c r="U20" s="202"/>
      <c r="V20" s="203" t="str">
        <f>+I20</f>
        <v>Años: 16 Meses: 9 Días: 27</v>
      </c>
      <c r="W20" s="204"/>
      <c r="X20" s="98"/>
    </row>
    <row r="21" spans="1:24" ht="15">
      <c r="A21" s="94"/>
      <c r="B21" s="85"/>
      <c r="C21" s="85"/>
      <c r="D21" s="85"/>
      <c r="E21" s="85"/>
      <c r="F21" s="85"/>
      <c r="G21" s="85"/>
      <c r="H21" s="85"/>
      <c r="I21" s="85"/>
      <c r="J21" s="85"/>
      <c r="K21" s="96"/>
      <c r="L21" s="85"/>
      <c r="N21" s="97"/>
      <c r="O21" s="85"/>
      <c r="P21" s="85"/>
      <c r="Q21" s="85"/>
      <c r="R21" s="85"/>
      <c r="S21" s="85"/>
      <c r="T21" s="85"/>
      <c r="U21" s="85"/>
      <c r="V21" s="85"/>
      <c r="W21" s="85"/>
      <c r="X21" s="98"/>
    </row>
    <row r="22" spans="1:24" ht="15">
      <c r="A22" s="94"/>
      <c r="B22" s="206" t="s">
        <v>106</v>
      </c>
      <c r="C22" s="214"/>
      <c r="D22" s="214"/>
      <c r="E22" s="214"/>
      <c r="F22" s="214"/>
      <c r="G22" s="214"/>
      <c r="H22" s="214"/>
      <c r="I22" s="214"/>
      <c r="J22" s="207"/>
      <c r="K22" s="96"/>
      <c r="L22" s="85"/>
      <c r="N22" s="97"/>
      <c r="O22" s="206" t="s">
        <v>106</v>
      </c>
      <c r="P22" s="214"/>
      <c r="Q22" s="214"/>
      <c r="R22" s="214"/>
      <c r="S22" s="214"/>
      <c r="T22" s="214"/>
      <c r="U22" s="214"/>
      <c r="V22" s="214"/>
      <c r="W22" s="207"/>
      <c r="X22" s="98"/>
    </row>
    <row r="23" spans="1:24" ht="15">
      <c r="A23" s="94"/>
      <c r="B23" s="228" t="s">
        <v>107</v>
      </c>
      <c r="C23" s="229"/>
      <c r="D23" s="229"/>
      <c r="E23" s="229"/>
      <c r="F23" s="229"/>
      <c r="G23" s="229"/>
      <c r="H23" s="229"/>
      <c r="I23" s="105"/>
      <c r="J23" s="106"/>
      <c r="K23" s="96"/>
      <c r="L23" s="85"/>
      <c r="N23" s="97"/>
      <c r="O23" s="228" t="s">
        <v>107</v>
      </c>
      <c r="P23" s="229"/>
      <c r="Q23" s="229"/>
      <c r="R23" s="229"/>
      <c r="S23" s="229"/>
      <c r="T23" s="229"/>
      <c r="U23" s="229"/>
      <c r="V23" s="105"/>
      <c r="W23" s="106"/>
      <c r="X23" s="98"/>
    </row>
    <row r="24" spans="1:24" ht="15">
      <c r="A24" s="94"/>
      <c r="B24" s="107"/>
      <c r="C24" s="107"/>
      <c r="D24" s="107"/>
      <c r="E24" s="108"/>
      <c r="F24" s="108"/>
      <c r="G24" s="108"/>
      <c r="H24" s="107"/>
      <c r="I24" s="85"/>
      <c r="J24" s="85"/>
      <c r="K24" s="96"/>
      <c r="L24" s="85"/>
      <c r="N24" s="97"/>
      <c r="O24" s="85"/>
      <c r="P24" s="85"/>
      <c r="Q24" s="85"/>
      <c r="R24" s="85"/>
      <c r="S24" s="85"/>
      <c r="T24" s="85"/>
      <c r="U24" s="85"/>
      <c r="V24" s="85"/>
      <c r="W24" s="85"/>
      <c r="X24" s="98"/>
    </row>
    <row r="25" spans="1:24" ht="15">
      <c r="A25" s="94"/>
      <c r="B25" s="230" t="s">
        <v>108</v>
      </c>
      <c r="C25" s="231"/>
      <c r="D25" s="232"/>
      <c r="E25" s="205" t="s">
        <v>109</v>
      </c>
      <c r="F25" s="205"/>
      <c r="G25" s="205"/>
      <c r="H25" s="206" t="s">
        <v>110</v>
      </c>
      <c r="I25" s="214"/>
      <c r="J25" s="207"/>
      <c r="K25" s="96"/>
      <c r="L25" s="85"/>
      <c r="N25" s="97"/>
      <c r="O25" s="215" t="s">
        <v>108</v>
      </c>
      <c r="P25" s="215"/>
      <c r="Q25" s="215"/>
      <c r="R25" s="205" t="s">
        <v>109</v>
      </c>
      <c r="S25" s="205"/>
      <c r="T25" s="205"/>
      <c r="U25" s="206" t="s">
        <v>110</v>
      </c>
      <c r="V25" s="214"/>
      <c r="W25" s="207"/>
      <c r="X25" s="98"/>
    </row>
    <row r="26" spans="1:24" ht="15">
      <c r="A26" s="94"/>
      <c r="B26" s="102" t="s">
        <v>111</v>
      </c>
      <c r="C26" s="104" t="s">
        <v>112</v>
      </c>
      <c r="D26" s="101" t="s">
        <v>113</v>
      </c>
      <c r="E26" s="109" t="s">
        <v>114</v>
      </c>
      <c r="F26" s="100" t="s">
        <v>112</v>
      </c>
      <c r="G26" s="100" t="s">
        <v>113</v>
      </c>
      <c r="H26" s="100" t="s">
        <v>115</v>
      </c>
      <c r="I26" s="100" t="s">
        <v>116</v>
      </c>
      <c r="J26" s="100" t="s">
        <v>117</v>
      </c>
      <c r="K26" s="96"/>
      <c r="L26" s="85"/>
      <c r="N26" s="97"/>
      <c r="O26" s="102" t="s">
        <v>111</v>
      </c>
      <c r="P26" s="104" t="s">
        <v>112</v>
      </c>
      <c r="Q26" s="101" t="s">
        <v>113</v>
      </c>
      <c r="R26" s="109" t="s">
        <v>114</v>
      </c>
      <c r="S26" s="100" t="s">
        <v>112</v>
      </c>
      <c r="T26" s="100" t="s">
        <v>113</v>
      </c>
      <c r="U26" s="100" t="s">
        <v>115</v>
      </c>
      <c r="V26" s="100" t="s">
        <v>116</v>
      </c>
      <c r="W26" s="100" t="s">
        <v>117</v>
      </c>
      <c r="X26" s="98"/>
    </row>
    <row r="27" spans="1:24" ht="15">
      <c r="A27" s="94"/>
      <c r="B27" s="221">
        <v>38568</v>
      </c>
      <c r="C27" s="209"/>
      <c r="D27" s="222"/>
      <c r="E27" s="110" t="s">
        <v>118</v>
      </c>
      <c r="F27" s="188">
        <f>+YYYY!F27</f>
        <v>5</v>
      </c>
      <c r="G27" s="189">
        <v>2022</v>
      </c>
      <c r="H27" s="190">
        <f>+YYYY!H27</f>
        <v>44653</v>
      </c>
      <c r="I27" s="191">
        <f>+YYYY!I27</f>
        <v>44654</v>
      </c>
      <c r="J27" s="111" t="s">
        <v>119</v>
      </c>
      <c r="K27" s="96"/>
      <c r="L27" s="85"/>
      <c r="N27" s="97"/>
      <c r="O27" s="223">
        <f>+B27</f>
        <v>38568</v>
      </c>
      <c r="P27" s="212"/>
      <c r="Q27" s="224"/>
      <c r="R27" s="110" t="str">
        <f aca="true" t="shared" si="0" ref="R27:W27">+E27</f>
        <v>MENSUAL</v>
      </c>
      <c r="S27" s="111">
        <f t="shared" si="0"/>
        <v>5</v>
      </c>
      <c r="T27" s="111">
        <f t="shared" si="0"/>
        <v>2022</v>
      </c>
      <c r="U27" s="112">
        <f t="shared" si="0"/>
        <v>44653</v>
      </c>
      <c r="V27" s="113">
        <f t="shared" si="0"/>
        <v>44654</v>
      </c>
      <c r="W27" s="111" t="str">
        <f t="shared" si="0"/>
        <v>PROVINCIA</v>
      </c>
      <c r="X27" s="98"/>
    </row>
    <row r="28" spans="1:24" ht="15">
      <c r="A28" s="94"/>
      <c r="B28" s="85"/>
      <c r="C28" s="85"/>
      <c r="D28" s="85"/>
      <c r="E28" s="85"/>
      <c r="F28" s="85"/>
      <c r="G28" s="85"/>
      <c r="H28" s="85"/>
      <c r="I28" s="85"/>
      <c r="J28" s="85"/>
      <c r="K28" s="96"/>
      <c r="L28" s="85"/>
      <c r="N28" s="97"/>
      <c r="O28" s="85"/>
      <c r="P28" s="85"/>
      <c r="Q28" s="85"/>
      <c r="R28" s="85"/>
      <c r="S28" s="85"/>
      <c r="T28" s="85"/>
      <c r="U28" s="85"/>
      <c r="V28" s="85"/>
      <c r="W28" s="85"/>
      <c r="X28" s="98"/>
    </row>
    <row r="29" spans="1:24" ht="15">
      <c r="A29" s="94"/>
      <c r="B29" s="225" t="s">
        <v>120</v>
      </c>
      <c r="C29" s="226"/>
      <c r="D29" s="226"/>
      <c r="E29" s="226"/>
      <c r="F29" s="226"/>
      <c r="G29" s="227"/>
      <c r="H29" s="100" t="s">
        <v>121</v>
      </c>
      <c r="I29" s="100" t="s">
        <v>122</v>
      </c>
      <c r="J29" s="100" t="s">
        <v>123</v>
      </c>
      <c r="K29" s="96"/>
      <c r="L29" s="85"/>
      <c r="N29" s="97"/>
      <c r="O29" s="225" t="s">
        <v>120</v>
      </c>
      <c r="P29" s="226"/>
      <c r="Q29" s="226"/>
      <c r="R29" s="226"/>
      <c r="S29" s="226"/>
      <c r="T29" s="227"/>
      <c r="U29" s="100" t="s">
        <v>121</v>
      </c>
      <c r="V29" s="100" t="s">
        <v>122</v>
      </c>
      <c r="W29" s="100" t="s">
        <v>123</v>
      </c>
      <c r="X29" s="98"/>
    </row>
    <row r="30" spans="1:24" ht="15">
      <c r="A30" s="94"/>
      <c r="B30" s="114">
        <f>+IF(F27=10,"DIA EMPLEADO RURAL",IF(AND(F27=8,G27=2014),"OJO ANTIGÜEDAD",""))</f>
      </c>
      <c r="C30" s="85"/>
      <c r="D30" s="85"/>
      <c r="E30" s="85"/>
      <c r="F30" s="85"/>
      <c r="G30" s="115"/>
      <c r="H30" s="116"/>
      <c r="I30" s="116"/>
      <c r="J30" s="116"/>
      <c r="K30" s="96"/>
      <c r="L30" s="85"/>
      <c r="N30" s="97"/>
      <c r="O30" s="85">
        <f aca="true" t="shared" si="1" ref="O30:O38">+B30</f>
      </c>
      <c r="P30" s="85"/>
      <c r="Q30" s="85"/>
      <c r="R30" s="85"/>
      <c r="S30" s="85"/>
      <c r="T30" s="115"/>
      <c r="U30" s="117">
        <f>+IF(H30&lt;&gt;"",H30,"")</f>
      </c>
      <c r="V30" s="116"/>
      <c r="W30" s="116"/>
      <c r="X30" s="98"/>
    </row>
    <row r="31" spans="1:24" ht="15">
      <c r="A31" s="94"/>
      <c r="B31" s="85" t="s">
        <v>124</v>
      </c>
      <c r="C31" s="85"/>
      <c r="D31" s="85"/>
      <c r="E31" s="85"/>
      <c r="F31" s="85"/>
      <c r="G31" s="118"/>
      <c r="H31" s="117">
        <f>67438.54+9993.27</f>
        <v>77431.81</v>
      </c>
      <c r="I31" s="117"/>
      <c r="J31" s="117"/>
      <c r="K31" s="96"/>
      <c r="L31" s="85"/>
      <c r="N31" s="97"/>
      <c r="O31" s="85" t="str">
        <f t="shared" si="1"/>
        <v>SUELDO BÁSICO</v>
      </c>
      <c r="P31" s="85"/>
      <c r="Q31" s="85"/>
      <c r="R31" s="85"/>
      <c r="S31" s="85"/>
      <c r="T31" s="118"/>
      <c r="U31" s="117">
        <f>+IF(H31&lt;&gt;"",H31,"")</f>
        <v>77431.81</v>
      </c>
      <c r="V31" s="117">
        <f>+IF(I31&lt;&gt;"",I31,"")</f>
      </c>
      <c r="W31" s="117">
        <f>+IF(J31&lt;&gt;"",J31,"")</f>
      </c>
      <c r="X31" s="98"/>
    </row>
    <row r="32" spans="1:24" ht="15">
      <c r="A32" s="94"/>
      <c r="B32" s="85" t="s">
        <v>104</v>
      </c>
      <c r="C32" s="85"/>
      <c r="D32" s="85"/>
      <c r="E32" s="85"/>
      <c r="F32" s="85"/>
      <c r="G32" s="118"/>
      <c r="H32" s="117">
        <f>+ROUND(IF(G27-YEAR(B27)-1&gt;10,(H31)*1.5%*(G27-YEAR(B27)),(H31)*1%*(G27-YEAR(B27))),2)</f>
        <v>19745.11</v>
      </c>
      <c r="I32" s="140"/>
      <c r="J32" s="117"/>
      <c r="K32" s="96"/>
      <c r="L32" s="85"/>
      <c r="N32" s="97"/>
      <c r="O32" s="85" t="str">
        <f t="shared" si="1"/>
        <v>ANTIGÜEDAD</v>
      </c>
      <c r="P32" s="85"/>
      <c r="Q32" s="85"/>
      <c r="R32" s="85"/>
      <c r="S32" s="85"/>
      <c r="T32" s="118"/>
      <c r="U32" s="117">
        <f>+IF(H32&lt;&gt;"",H32,"")</f>
        <v>19745.11</v>
      </c>
      <c r="V32" s="117">
        <f>+IF(I32&lt;&gt;"",I32,"")</f>
      </c>
      <c r="W32" s="117">
        <f>+IF(J32&lt;&gt;"",J32,"")</f>
      </c>
      <c r="X32" s="98"/>
    </row>
    <row r="33" spans="1:24" ht="15">
      <c r="A33" s="94"/>
      <c r="B33" s="85"/>
      <c r="C33" s="85"/>
      <c r="D33" s="85"/>
      <c r="E33" s="85"/>
      <c r="F33" s="85"/>
      <c r="G33" s="118"/>
      <c r="H33" s="117"/>
      <c r="I33" s="140"/>
      <c r="J33" s="117"/>
      <c r="K33" s="96"/>
      <c r="L33" s="85"/>
      <c r="N33" s="97"/>
      <c r="O33" s="85"/>
      <c r="P33" s="85"/>
      <c r="Q33" s="85"/>
      <c r="R33" s="85"/>
      <c r="S33" s="85"/>
      <c r="T33" s="118"/>
      <c r="U33" s="117"/>
      <c r="V33" s="117"/>
      <c r="W33" s="117"/>
      <c r="X33" s="98"/>
    </row>
    <row r="34" spans="1:24" ht="15">
      <c r="A34" s="94"/>
      <c r="B34" s="85" t="s">
        <v>17</v>
      </c>
      <c r="C34" s="85"/>
      <c r="D34" s="85"/>
      <c r="E34" s="85"/>
      <c r="F34" s="85"/>
      <c r="G34" s="120">
        <v>0.11</v>
      </c>
      <c r="H34" s="117"/>
      <c r="I34" s="117"/>
      <c r="J34" s="117">
        <f>+ROUND($H$41*G34,2)</f>
        <v>10689.46</v>
      </c>
      <c r="K34" s="96"/>
      <c r="L34" s="85"/>
      <c r="N34" s="97"/>
      <c r="O34" s="85" t="str">
        <f t="shared" si="1"/>
        <v>JUBILACIÓN</v>
      </c>
      <c r="P34" s="85"/>
      <c r="Q34" s="85"/>
      <c r="R34" s="85"/>
      <c r="S34" s="85"/>
      <c r="T34" s="118"/>
      <c r="U34" s="117">
        <f aca="true" t="shared" si="2" ref="U34:W38">+IF(H34&lt;&gt;"",H34,"")</f>
      </c>
      <c r="V34" s="117">
        <f t="shared" si="2"/>
      </c>
      <c r="W34" s="117">
        <f t="shared" si="2"/>
        <v>10689.46</v>
      </c>
      <c r="X34" s="98"/>
    </row>
    <row r="35" spans="1:24" ht="15">
      <c r="A35" s="94"/>
      <c r="B35" s="85" t="s">
        <v>125</v>
      </c>
      <c r="C35" s="85"/>
      <c r="D35" s="85"/>
      <c r="E35" s="85"/>
      <c r="F35" s="85"/>
      <c r="G35" s="120">
        <v>0.03</v>
      </c>
      <c r="H35" s="117"/>
      <c r="I35" s="117"/>
      <c r="J35" s="117">
        <f>+ROUND($H$41*G35,2)</f>
        <v>2915.31</v>
      </c>
      <c r="K35" s="96"/>
      <c r="L35" s="85"/>
      <c r="N35" s="97"/>
      <c r="O35" s="85" t="str">
        <f t="shared" si="1"/>
        <v>LEY 19.032</v>
      </c>
      <c r="P35" s="85"/>
      <c r="Q35" s="85"/>
      <c r="R35" s="85"/>
      <c r="S35" s="85"/>
      <c r="T35" s="118"/>
      <c r="U35" s="117">
        <f t="shared" si="2"/>
      </c>
      <c r="V35" s="117">
        <f t="shared" si="2"/>
      </c>
      <c r="W35" s="117">
        <f t="shared" si="2"/>
        <v>2915.31</v>
      </c>
      <c r="X35" s="98"/>
    </row>
    <row r="36" spans="1:24" ht="15">
      <c r="A36" s="94"/>
      <c r="B36" s="85" t="s">
        <v>126</v>
      </c>
      <c r="C36" s="85"/>
      <c r="D36" s="85"/>
      <c r="E36" s="85"/>
      <c r="F36" s="85"/>
      <c r="G36" s="120">
        <v>0.03</v>
      </c>
      <c r="H36" s="117"/>
      <c r="I36" s="117"/>
      <c r="J36" s="117">
        <f>+ROUND($H$41*G36,2)</f>
        <v>2915.31</v>
      </c>
      <c r="K36" s="96"/>
      <c r="L36" s="85"/>
      <c r="N36" s="97"/>
      <c r="O36" s="85" t="str">
        <f t="shared" si="1"/>
        <v>OBRA SOCIAL </v>
      </c>
      <c r="P36" s="85"/>
      <c r="Q36" s="85"/>
      <c r="R36" s="85"/>
      <c r="S36" s="85"/>
      <c r="T36" s="118"/>
      <c r="U36" s="117">
        <f t="shared" si="2"/>
      </c>
      <c r="V36" s="117">
        <f t="shared" si="2"/>
      </c>
      <c r="W36" s="117">
        <f t="shared" si="2"/>
        <v>2915.31</v>
      </c>
      <c r="X36" s="98"/>
    </row>
    <row r="37" spans="1:24" ht="15">
      <c r="A37" s="94"/>
      <c r="B37" s="85" t="s">
        <v>127</v>
      </c>
      <c r="C37" s="85"/>
      <c r="D37" s="85"/>
      <c r="E37" s="85"/>
      <c r="F37" s="85"/>
      <c r="G37" s="120">
        <v>0.02</v>
      </c>
      <c r="H37" s="117"/>
      <c r="I37" s="117"/>
      <c r="J37" s="117">
        <f>+ROUND($H$41*G37,2)</f>
        <v>1943.54</v>
      </c>
      <c r="K37" s="96"/>
      <c r="L37" s="85"/>
      <c r="N37" s="97"/>
      <c r="O37" s="85" t="str">
        <f t="shared" si="1"/>
        <v>SINDICATO (U.A.T.R.E.)</v>
      </c>
      <c r="P37" s="85"/>
      <c r="Q37" s="85"/>
      <c r="R37" s="85"/>
      <c r="S37" s="85"/>
      <c r="T37" s="118"/>
      <c r="U37" s="117">
        <f t="shared" si="2"/>
      </c>
      <c r="V37" s="117">
        <f t="shared" si="2"/>
      </c>
      <c r="W37" s="117">
        <f t="shared" si="2"/>
        <v>1943.54</v>
      </c>
      <c r="X37" s="98"/>
    </row>
    <row r="38" spans="1:24" ht="15">
      <c r="A38" s="94"/>
      <c r="B38" s="85" t="s">
        <v>128</v>
      </c>
      <c r="C38" s="85"/>
      <c r="D38" s="85"/>
      <c r="E38" s="85"/>
      <c r="F38" s="85"/>
      <c r="G38" s="120">
        <v>0.015</v>
      </c>
      <c r="H38" s="117"/>
      <c r="I38" s="117"/>
      <c r="J38" s="117">
        <f>+ROUND($H$41*G38,2)</f>
        <v>1457.65</v>
      </c>
      <c r="K38" s="96"/>
      <c r="L38" s="85"/>
      <c r="N38" s="97"/>
      <c r="O38" s="85" t="str">
        <f t="shared" si="1"/>
        <v>SEGURO DE SEPELIO</v>
      </c>
      <c r="P38" s="85"/>
      <c r="Q38" s="85"/>
      <c r="R38" s="85"/>
      <c r="S38" s="85"/>
      <c r="T38" s="118"/>
      <c r="U38" s="117">
        <f t="shared" si="2"/>
      </c>
      <c r="V38" s="117">
        <f t="shared" si="2"/>
      </c>
      <c r="W38" s="117">
        <f t="shared" si="2"/>
        <v>1457.65</v>
      </c>
      <c r="X38" s="98"/>
    </row>
    <row r="39" spans="1:24" ht="15">
      <c r="A39" s="94"/>
      <c r="B39" s="85"/>
      <c r="C39" s="85"/>
      <c r="D39" s="85"/>
      <c r="E39" s="85"/>
      <c r="F39" s="85"/>
      <c r="G39" s="121"/>
      <c r="H39" s="122"/>
      <c r="I39" s="122"/>
      <c r="J39" s="122"/>
      <c r="K39" s="96"/>
      <c r="L39" s="85"/>
      <c r="N39" s="97"/>
      <c r="O39" s="85"/>
      <c r="P39" s="85"/>
      <c r="Q39" s="85"/>
      <c r="R39" s="85"/>
      <c r="S39" s="85"/>
      <c r="T39" s="121"/>
      <c r="U39" s="122"/>
      <c r="V39" s="122"/>
      <c r="W39" s="122"/>
      <c r="X39" s="98"/>
    </row>
    <row r="40" spans="1:24" ht="15">
      <c r="A40" s="94"/>
      <c r="B40" s="144" t="s">
        <v>129</v>
      </c>
      <c r="C40" s="145"/>
      <c r="D40" s="145"/>
      <c r="E40" s="145"/>
      <c r="F40" s="145"/>
      <c r="G40" s="146"/>
      <c r="H40" s="100" t="s">
        <v>130</v>
      </c>
      <c r="I40" s="100" t="s">
        <v>131</v>
      </c>
      <c r="J40" s="100" t="s">
        <v>123</v>
      </c>
      <c r="K40" s="96"/>
      <c r="L40" s="85"/>
      <c r="N40" s="97"/>
      <c r="O40" s="144" t="s">
        <v>129</v>
      </c>
      <c r="P40" s="145"/>
      <c r="Q40" s="145"/>
      <c r="R40" s="145"/>
      <c r="S40" s="145"/>
      <c r="T40" s="146"/>
      <c r="U40" s="100" t="s">
        <v>130</v>
      </c>
      <c r="V40" s="100" t="s">
        <v>131</v>
      </c>
      <c r="W40" s="100" t="s">
        <v>123</v>
      </c>
      <c r="X40" s="98"/>
    </row>
    <row r="41" spans="1:24" ht="15">
      <c r="A41" s="94"/>
      <c r="B41" s="141" t="str">
        <f>+"CHACABUCO, "&amp;"06/"&amp;TEXT((F27+1),"00")&amp;"/2022"</f>
        <v>CHACABUCO, 06/06/2022</v>
      </c>
      <c r="C41" s="142"/>
      <c r="D41" s="142"/>
      <c r="E41" s="142"/>
      <c r="F41" s="142"/>
      <c r="G41" s="143"/>
      <c r="H41" s="123">
        <f>SUM(H30:H39)</f>
        <v>97176.92</v>
      </c>
      <c r="I41" s="123">
        <f>SUM(I30:I39)</f>
        <v>0</v>
      </c>
      <c r="J41" s="123">
        <f>SUM(J30:J39)</f>
        <v>19921.27</v>
      </c>
      <c r="K41" s="96"/>
      <c r="L41" s="85"/>
      <c r="N41" s="97"/>
      <c r="O41" s="141" t="str">
        <f>+B41</f>
        <v>CHACABUCO, 06/06/2022</v>
      </c>
      <c r="P41" s="142"/>
      <c r="Q41" s="142"/>
      <c r="R41" s="142"/>
      <c r="S41" s="142"/>
      <c r="T41" s="143"/>
      <c r="U41" s="124">
        <f>+H41</f>
        <v>97176.92</v>
      </c>
      <c r="V41" s="123">
        <f>+I41</f>
        <v>0</v>
      </c>
      <c r="W41" s="123">
        <f>+J41</f>
        <v>19921.27</v>
      </c>
      <c r="X41" s="98"/>
    </row>
    <row r="42" spans="1:24" ht="15">
      <c r="A42" s="94"/>
      <c r="B42" s="85"/>
      <c r="C42" s="85"/>
      <c r="D42" s="85"/>
      <c r="E42" s="85"/>
      <c r="F42" s="85"/>
      <c r="G42" s="85"/>
      <c r="H42" s="85"/>
      <c r="I42" s="85"/>
      <c r="J42" s="85"/>
      <c r="K42" s="96"/>
      <c r="L42" s="85"/>
      <c r="N42" s="97"/>
      <c r="O42" s="85"/>
      <c r="P42" s="85"/>
      <c r="Q42" s="85"/>
      <c r="R42" s="85"/>
      <c r="S42" s="85"/>
      <c r="T42" s="85"/>
      <c r="U42" s="85"/>
      <c r="V42" s="85"/>
      <c r="W42" s="85"/>
      <c r="X42" s="98"/>
    </row>
    <row r="43" spans="1:24" ht="15">
      <c r="A43" s="94"/>
      <c r="B43" s="144" t="s">
        <v>132</v>
      </c>
      <c r="C43" s="145"/>
      <c r="D43" s="145"/>
      <c r="E43" s="145"/>
      <c r="F43" s="145"/>
      <c r="G43" s="146"/>
      <c r="H43" s="100" t="s">
        <v>133</v>
      </c>
      <c r="I43" s="100" t="s">
        <v>134</v>
      </c>
      <c r="J43" s="100" t="s">
        <v>135</v>
      </c>
      <c r="K43" s="96"/>
      <c r="L43" s="85"/>
      <c r="N43" s="97"/>
      <c r="O43" s="85"/>
      <c r="P43" s="85"/>
      <c r="Q43" s="85"/>
      <c r="R43" s="85"/>
      <c r="S43" s="85"/>
      <c r="T43" s="85"/>
      <c r="V43" s="100" t="s">
        <v>134</v>
      </c>
      <c r="W43" s="100" t="s">
        <v>135</v>
      </c>
      <c r="X43" s="98"/>
    </row>
    <row r="44" spans="1:24" ht="15">
      <c r="A44" s="94"/>
      <c r="B44" s="125" t="s">
        <v>136</v>
      </c>
      <c r="C44" s="105"/>
      <c r="D44" s="105"/>
      <c r="E44" s="105"/>
      <c r="F44" s="105"/>
      <c r="G44" s="126"/>
      <c r="H44" s="127">
        <v>51369707</v>
      </c>
      <c r="I44" s="128">
        <f>+I41+H41</f>
        <v>97176.92</v>
      </c>
      <c r="J44" s="128">
        <f>+I44-J41</f>
        <v>77255.65</v>
      </c>
      <c r="K44" s="96"/>
      <c r="L44" s="85"/>
      <c r="N44" s="97"/>
      <c r="O44" s="85"/>
      <c r="P44" s="85"/>
      <c r="Q44" s="85"/>
      <c r="R44" s="85"/>
      <c r="S44" s="85"/>
      <c r="T44" s="85"/>
      <c r="V44" s="128">
        <f>+I44</f>
        <v>97176.92</v>
      </c>
      <c r="W44" s="128">
        <f>+J44</f>
        <v>77255.65</v>
      </c>
      <c r="X44" s="98"/>
    </row>
    <row r="45" spans="1:24" ht="15">
      <c r="A45" s="94"/>
      <c r="B45" s="85"/>
      <c r="C45" s="85"/>
      <c r="D45" s="85"/>
      <c r="E45" s="85"/>
      <c r="F45" s="85"/>
      <c r="G45" s="85"/>
      <c r="H45" s="85"/>
      <c r="I45" s="129"/>
      <c r="J45" s="85"/>
      <c r="K45" s="96"/>
      <c r="L45" s="85"/>
      <c r="N45" s="97"/>
      <c r="O45" s="85"/>
      <c r="P45" s="85"/>
      <c r="Q45" s="85"/>
      <c r="R45" s="85"/>
      <c r="S45" s="85"/>
      <c r="T45" s="85"/>
      <c r="U45" s="85"/>
      <c r="V45" s="85"/>
      <c r="W45" s="85"/>
      <c r="X45" s="98"/>
    </row>
    <row r="46" spans="1:24" ht="15">
      <c r="A46" s="94"/>
      <c r="B46" s="88" t="s">
        <v>137</v>
      </c>
      <c r="C46" s="89"/>
      <c r="D46" s="130" t="s">
        <v>205</v>
      </c>
      <c r="E46" s="89"/>
      <c r="F46" s="89"/>
      <c r="G46" s="89"/>
      <c r="H46" s="89"/>
      <c r="I46" s="89"/>
      <c r="J46" s="90"/>
      <c r="K46" s="96"/>
      <c r="L46" s="85"/>
      <c r="N46" s="97"/>
      <c r="O46" s="88" t="s">
        <v>137</v>
      </c>
      <c r="P46" s="89"/>
      <c r="Q46" s="89" t="str">
        <f>+D46</f>
        <v>SETENTA Y SIETE MIL DOSCIENTOS CINCUENTA Y CINCO CON 65/100</v>
      </c>
      <c r="R46" s="89"/>
      <c r="S46" s="89"/>
      <c r="T46" s="89"/>
      <c r="U46" s="89"/>
      <c r="V46" s="89"/>
      <c r="W46" s="90"/>
      <c r="X46" s="98"/>
    </row>
    <row r="47" spans="1:24" ht="12.75" customHeight="1">
      <c r="A47" s="94"/>
      <c r="B47" s="147"/>
      <c r="C47" s="148"/>
      <c r="D47" s="148"/>
      <c r="E47" s="148"/>
      <c r="F47" s="148"/>
      <c r="G47" s="148"/>
      <c r="H47" s="148"/>
      <c r="I47" s="148"/>
      <c r="J47" s="149"/>
      <c r="K47" s="96"/>
      <c r="L47" s="85"/>
      <c r="N47" s="97"/>
      <c r="O47" s="147"/>
      <c r="P47" s="148"/>
      <c r="Q47" s="148"/>
      <c r="R47" s="148"/>
      <c r="S47" s="148"/>
      <c r="T47" s="148"/>
      <c r="U47" s="148"/>
      <c r="V47" s="148"/>
      <c r="W47" s="149"/>
      <c r="X47" s="98"/>
    </row>
    <row r="48" spans="1:24" ht="15">
      <c r="A48" s="94"/>
      <c r="B48" s="85"/>
      <c r="C48" s="85"/>
      <c r="D48" s="85"/>
      <c r="E48" s="85"/>
      <c r="F48" s="85"/>
      <c r="G48" s="85"/>
      <c r="H48" s="85"/>
      <c r="I48" s="85"/>
      <c r="J48" s="85"/>
      <c r="K48" s="96"/>
      <c r="L48" s="85"/>
      <c r="N48" s="97"/>
      <c r="O48" s="85"/>
      <c r="P48" s="85"/>
      <c r="Q48" s="85"/>
      <c r="R48" s="85"/>
      <c r="S48" s="85"/>
      <c r="T48" s="85"/>
      <c r="U48" s="85"/>
      <c r="V48" s="85"/>
      <c r="W48" s="85"/>
      <c r="X48" s="98"/>
    </row>
    <row r="49" spans="1:24" ht="15">
      <c r="A49" s="94"/>
      <c r="B49" s="85"/>
      <c r="C49" s="85"/>
      <c r="D49" s="85"/>
      <c r="E49" s="85"/>
      <c r="F49" s="85"/>
      <c r="G49" s="85"/>
      <c r="H49" s="85"/>
      <c r="I49" s="85"/>
      <c r="J49" s="85"/>
      <c r="K49" s="96"/>
      <c r="L49" s="85"/>
      <c r="N49" s="97"/>
      <c r="O49" s="131" t="s">
        <v>138</v>
      </c>
      <c r="P49" s="85"/>
      <c r="Q49" s="85"/>
      <c r="R49" s="85"/>
      <c r="S49" s="85"/>
      <c r="T49" s="85"/>
      <c r="U49" s="85"/>
      <c r="V49" s="85"/>
      <c r="W49" s="85"/>
      <c r="X49" s="98"/>
    </row>
    <row r="50" spans="1:24" ht="15">
      <c r="A50" s="94"/>
      <c r="B50" s="85"/>
      <c r="C50" s="85"/>
      <c r="D50" s="85"/>
      <c r="E50" s="85"/>
      <c r="F50" s="85"/>
      <c r="G50" s="85"/>
      <c r="H50" s="85"/>
      <c r="I50" s="129"/>
      <c r="J50" s="85"/>
      <c r="K50" s="96"/>
      <c r="L50" s="85"/>
      <c r="N50" s="97"/>
      <c r="O50" s="131" t="s">
        <v>139</v>
      </c>
      <c r="P50" s="85"/>
      <c r="Q50" s="85"/>
      <c r="R50" s="85"/>
      <c r="S50" s="85"/>
      <c r="T50" s="85"/>
      <c r="U50" s="85"/>
      <c r="V50" s="85"/>
      <c r="W50" s="85"/>
      <c r="X50" s="98"/>
    </row>
    <row r="51" spans="1:24" ht="15.75" thickBot="1">
      <c r="A51" s="94"/>
      <c r="B51" s="85"/>
      <c r="C51" s="85"/>
      <c r="D51" s="85"/>
      <c r="E51" s="132"/>
      <c r="F51" s="132"/>
      <c r="G51" s="132"/>
      <c r="H51" s="85"/>
      <c r="I51" s="133"/>
      <c r="J51" s="85"/>
      <c r="K51" s="96"/>
      <c r="L51" s="85"/>
      <c r="N51" s="97"/>
      <c r="O51" s="85"/>
      <c r="P51" s="85"/>
      <c r="Q51" s="85"/>
      <c r="R51" s="85"/>
      <c r="S51" s="85"/>
      <c r="T51" s="85"/>
      <c r="U51" s="85"/>
      <c r="V51" s="133"/>
      <c r="W51" s="85"/>
      <c r="X51" s="98"/>
    </row>
    <row r="52" spans="1:24" ht="15">
      <c r="A52" s="94"/>
      <c r="B52" s="85"/>
      <c r="C52" s="85"/>
      <c r="D52" s="85"/>
      <c r="E52" s="150" t="s">
        <v>140</v>
      </c>
      <c r="F52" s="150"/>
      <c r="G52" s="150"/>
      <c r="H52" s="85"/>
      <c r="I52" s="134" t="s">
        <v>141</v>
      </c>
      <c r="J52" s="85"/>
      <c r="K52" s="96"/>
      <c r="L52" s="85"/>
      <c r="N52" s="97"/>
      <c r="O52" s="85"/>
      <c r="P52" s="85"/>
      <c r="Q52" s="85"/>
      <c r="R52" s="85"/>
      <c r="S52" s="85"/>
      <c r="T52" s="85"/>
      <c r="U52" s="85"/>
      <c r="V52" s="134" t="s">
        <v>141</v>
      </c>
      <c r="W52" s="85"/>
      <c r="X52" s="98"/>
    </row>
    <row r="53" spans="1:24" ht="15">
      <c r="A53" s="135"/>
      <c r="B53" s="87"/>
      <c r="C53" s="87"/>
      <c r="D53" s="87"/>
      <c r="E53" s="87"/>
      <c r="F53" s="87"/>
      <c r="G53" s="87"/>
      <c r="H53" s="87"/>
      <c r="I53" s="87"/>
      <c r="J53" s="87"/>
      <c r="K53" s="136"/>
      <c r="L53" s="85"/>
      <c r="N53" s="137"/>
      <c r="O53" s="138"/>
      <c r="P53" s="138"/>
      <c r="Q53" s="138"/>
      <c r="R53" s="138"/>
      <c r="S53" s="138"/>
      <c r="T53" s="138"/>
      <c r="U53" s="138"/>
      <c r="V53" s="138"/>
      <c r="W53" s="138"/>
      <c r="X53" s="139"/>
    </row>
  </sheetData>
  <sheetProtection/>
  <mergeCells count="30">
    <mergeCell ref="B27:D27"/>
    <mergeCell ref="O27:Q27"/>
    <mergeCell ref="B29:G29"/>
    <mergeCell ref="O29:T29"/>
    <mergeCell ref="B22:J22"/>
    <mergeCell ref="O22:W22"/>
    <mergeCell ref="B23:H23"/>
    <mergeCell ref="O23:U23"/>
    <mergeCell ref="B25:D25"/>
    <mergeCell ref="E25:G25"/>
    <mergeCell ref="H25:J25"/>
    <mergeCell ref="O25:Q25"/>
    <mergeCell ref="R25:T25"/>
    <mergeCell ref="U25:W25"/>
    <mergeCell ref="B19:H19"/>
    <mergeCell ref="I19:J19"/>
    <mergeCell ref="O19:U19"/>
    <mergeCell ref="V19:W19"/>
    <mergeCell ref="B20:H20"/>
    <mergeCell ref="I20:J20"/>
    <mergeCell ref="O20:U20"/>
    <mergeCell ref="V20:W20"/>
    <mergeCell ref="B16:G16"/>
    <mergeCell ref="I16:J16"/>
    <mergeCell ref="O16:T16"/>
    <mergeCell ref="V16:W16"/>
    <mergeCell ref="B17:G17"/>
    <mergeCell ref="I17:J17"/>
    <mergeCell ref="O17:T17"/>
    <mergeCell ref="V17:W17"/>
  </mergeCells>
  <printOptions/>
  <pageMargins left="0.15748031496062992" right="0.15748031496062992" top="0.6299212598425197" bottom="0.7480314960629921" header="0.31496062992125984" footer="0.31496062992125984"/>
  <pageSetup fitToWidth="2" fitToHeight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="75" zoomScaleNormal="75" zoomScalePageLayoutView="0" workbookViewId="0" topLeftCell="A1">
      <selection activeCell="S4" sqref="S4"/>
    </sheetView>
  </sheetViews>
  <sheetFormatPr defaultColWidth="11.421875" defaultRowHeight="15"/>
  <cols>
    <col min="1" max="1" width="12.57421875" style="151" customWidth="1"/>
    <col min="2" max="3" width="11.421875" style="151" customWidth="1"/>
    <col min="4" max="4" width="11.7109375" style="151" bestFit="1" customWidth="1"/>
    <col min="5" max="5" width="15.421875" style="151" customWidth="1"/>
    <col min="6" max="6" width="7.421875" style="151" customWidth="1"/>
    <col min="7" max="7" width="15.00390625" style="151" customWidth="1"/>
    <col min="8" max="8" width="9.57421875" style="151" customWidth="1"/>
    <col min="9" max="9" width="13.421875" style="151" customWidth="1"/>
    <col min="10" max="10" width="10.57421875" style="151" customWidth="1"/>
    <col min="11" max="11" width="11.7109375" style="151" customWidth="1"/>
    <col min="12" max="12" width="9.140625" style="151" customWidth="1"/>
    <col min="13" max="13" width="12.28125" style="151" customWidth="1"/>
    <col min="14" max="14" width="11.00390625" style="151" customWidth="1"/>
    <col min="15" max="15" width="11.421875" style="151" customWidth="1"/>
    <col min="16" max="16" width="4.00390625" style="151" customWidth="1"/>
    <col min="17" max="17" width="10.140625" style="151" customWidth="1"/>
    <col min="18" max="18" width="11.57421875" style="151" customWidth="1"/>
    <col min="19" max="19" width="12.140625" style="151" customWidth="1"/>
    <col min="20" max="16384" width="11.421875" style="151" customWidth="1"/>
  </cols>
  <sheetData>
    <row r="1" spans="1:19" ht="1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5">
      <c r="A3" s="160" t="s">
        <v>210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Q3" s="161" t="s">
        <v>143</v>
      </c>
      <c r="R3" s="161"/>
      <c r="S3" s="161" t="s">
        <v>216</v>
      </c>
    </row>
    <row r="4" spans="1:19" ht="15">
      <c r="A4" s="162" t="s">
        <v>211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3" t="s">
        <v>144</v>
      </c>
    </row>
    <row r="5" spans="1:19" s="152" customFormat="1" ht="16.5">
      <c r="A5" s="233" t="s">
        <v>145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164"/>
    </row>
    <row r="6" spans="1:19" ht="1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s="153" customFormat="1" ht="18" thickBot="1">
      <c r="A7" s="165" t="s">
        <v>212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s="154" customFormat="1" ht="18.75" customHeight="1">
      <c r="A8" s="167" t="s">
        <v>146</v>
      </c>
      <c r="B8" s="167" t="s">
        <v>147</v>
      </c>
      <c r="C8" s="168"/>
      <c r="D8" s="168"/>
      <c r="E8" s="167" t="s">
        <v>148</v>
      </c>
      <c r="F8" s="168"/>
      <c r="G8" s="167" t="s">
        <v>149</v>
      </c>
      <c r="H8" s="168"/>
      <c r="I8" s="167" t="s">
        <v>150</v>
      </c>
      <c r="J8" s="167" t="s">
        <v>151</v>
      </c>
      <c r="K8" s="167" t="s">
        <v>152</v>
      </c>
      <c r="L8" s="168"/>
      <c r="M8" s="167" t="s">
        <v>153</v>
      </c>
      <c r="N8" s="167" t="s">
        <v>154</v>
      </c>
      <c r="O8" s="168"/>
      <c r="P8" s="168"/>
      <c r="Q8" s="167" t="s">
        <v>155</v>
      </c>
      <c r="R8" s="167"/>
      <c r="S8" s="168"/>
    </row>
    <row r="9" spans="1:19" s="154" customFormat="1" ht="18.75" customHeight="1" thickBot="1">
      <c r="A9" s="169" t="s">
        <v>156</v>
      </c>
      <c r="B9" s="170"/>
      <c r="C9" s="169" t="s">
        <v>157</v>
      </c>
      <c r="D9" s="170"/>
      <c r="E9" s="169" t="s">
        <v>158</v>
      </c>
      <c r="F9" s="169" t="s">
        <v>159</v>
      </c>
      <c r="G9" s="170"/>
      <c r="H9" s="169" t="s">
        <v>160</v>
      </c>
      <c r="I9" s="170"/>
      <c r="J9" s="170"/>
      <c r="K9" s="170"/>
      <c r="L9" s="169" t="s">
        <v>161</v>
      </c>
      <c r="M9" s="169"/>
      <c r="N9" s="169" t="s">
        <v>162</v>
      </c>
      <c r="O9" s="169" t="s">
        <v>163</v>
      </c>
      <c r="P9" s="170"/>
      <c r="Q9" s="170"/>
      <c r="R9" s="170"/>
      <c r="S9" s="170"/>
    </row>
    <row r="10" spans="1:19" s="154" customFormat="1" ht="18.75" customHeight="1" thickBot="1">
      <c r="A10" s="171" t="s">
        <v>164</v>
      </c>
      <c r="B10" s="171" t="s">
        <v>165</v>
      </c>
      <c r="C10" s="172"/>
      <c r="D10" s="172"/>
      <c r="E10" s="171" t="s">
        <v>166</v>
      </c>
      <c r="F10" s="172"/>
      <c r="G10" s="171" t="s">
        <v>167</v>
      </c>
      <c r="H10" s="172"/>
      <c r="I10" s="172"/>
      <c r="J10" s="171" t="s">
        <v>168</v>
      </c>
      <c r="K10" s="172"/>
      <c r="L10" s="173" t="s">
        <v>169</v>
      </c>
      <c r="M10" s="172"/>
      <c r="N10" s="172"/>
      <c r="O10" s="171" t="s">
        <v>170</v>
      </c>
      <c r="P10" s="172"/>
      <c r="Q10" s="172"/>
      <c r="R10" s="171" t="s">
        <v>171</v>
      </c>
      <c r="S10" s="171"/>
    </row>
    <row r="11" spans="1:19" ht="15">
      <c r="A11" s="160">
        <v>1</v>
      </c>
      <c r="B11" s="192" t="s">
        <v>213</v>
      </c>
      <c r="C11" s="160"/>
      <c r="D11" s="160"/>
      <c r="E11" s="160" t="s">
        <v>172</v>
      </c>
      <c r="F11" s="160"/>
      <c r="G11" s="160" t="s">
        <v>142</v>
      </c>
      <c r="H11" s="160"/>
      <c r="I11" s="174">
        <v>38568</v>
      </c>
      <c r="J11" s="160"/>
      <c r="K11" s="160" t="s">
        <v>142</v>
      </c>
      <c r="L11" s="160"/>
      <c r="M11" s="175">
        <f>+G13</f>
        <v>77431.81</v>
      </c>
      <c r="N11" s="160" t="s">
        <v>173</v>
      </c>
      <c r="O11" s="160"/>
      <c r="P11" s="160"/>
      <c r="Q11" s="160" t="s">
        <v>174</v>
      </c>
      <c r="R11" s="160"/>
      <c r="S11" s="160"/>
    </row>
    <row r="12" spans="1:19" ht="15">
      <c r="A12" s="160" t="s">
        <v>175</v>
      </c>
      <c r="B12" s="160"/>
      <c r="C12" s="160" t="s">
        <v>176</v>
      </c>
      <c r="D12" s="160"/>
      <c r="E12" s="193"/>
      <c r="F12" s="160" t="s">
        <v>177</v>
      </c>
      <c r="G12" s="160"/>
      <c r="H12" s="192"/>
      <c r="I12" s="160"/>
      <c r="J12" s="160"/>
      <c r="K12" s="160"/>
      <c r="L12" s="160" t="s">
        <v>178</v>
      </c>
      <c r="M12" s="160"/>
      <c r="N12" s="194"/>
      <c r="O12" s="160"/>
      <c r="P12" s="192" t="s">
        <v>215</v>
      </c>
      <c r="Q12" s="192"/>
      <c r="R12" s="192"/>
      <c r="S12" s="192"/>
    </row>
    <row r="13" spans="1:19" ht="15">
      <c r="A13" s="176" t="s">
        <v>179</v>
      </c>
      <c r="B13" s="160" t="s">
        <v>180</v>
      </c>
      <c r="C13" s="160"/>
      <c r="D13" s="160"/>
      <c r="E13" s="160"/>
      <c r="F13" s="160"/>
      <c r="G13" s="175">
        <f>+XXXX!H31</f>
        <v>77431.81</v>
      </c>
      <c r="H13" s="160"/>
      <c r="I13" s="160"/>
      <c r="J13" s="160"/>
      <c r="K13" s="177" t="s">
        <v>181</v>
      </c>
      <c r="L13" s="160" t="s">
        <v>182</v>
      </c>
      <c r="M13" s="160"/>
      <c r="N13" s="160"/>
      <c r="O13" s="160"/>
      <c r="P13" s="160"/>
      <c r="Q13" s="160"/>
      <c r="R13" s="175">
        <f>+XXXX!H32</f>
        <v>19745.11</v>
      </c>
      <c r="S13" s="160"/>
    </row>
    <row r="14" spans="1:19" ht="15">
      <c r="A14" s="176" t="s">
        <v>183</v>
      </c>
      <c r="B14" s="160"/>
      <c r="C14" s="160"/>
      <c r="G14" s="155"/>
      <c r="H14" s="160"/>
      <c r="I14" s="160"/>
      <c r="J14" s="160"/>
      <c r="K14" s="177" t="s">
        <v>184</v>
      </c>
      <c r="L14" s="160" t="s">
        <v>185</v>
      </c>
      <c r="R14" s="175">
        <f>+XXXX!J34</f>
        <v>10689.46</v>
      </c>
      <c r="S14" s="160"/>
    </row>
    <row r="15" spans="1:19" ht="15">
      <c r="A15" s="176" t="s">
        <v>186</v>
      </c>
      <c r="B15" s="160" t="s">
        <v>187</v>
      </c>
      <c r="C15" s="160"/>
      <c r="D15" s="160"/>
      <c r="E15" s="160"/>
      <c r="F15" s="160"/>
      <c r="G15" s="175">
        <f>+XXXX!J36</f>
        <v>2915.31</v>
      </c>
      <c r="H15" s="160"/>
      <c r="I15" s="160"/>
      <c r="J15" s="160"/>
      <c r="K15" s="177" t="s">
        <v>188</v>
      </c>
      <c r="L15" s="160" t="s">
        <v>189</v>
      </c>
      <c r="M15" s="160"/>
      <c r="N15" s="160"/>
      <c r="O15" s="160"/>
      <c r="P15" s="160"/>
      <c r="Q15" s="160"/>
      <c r="R15" s="175">
        <f>+XXXX!J35</f>
        <v>2915.31</v>
      </c>
      <c r="S15" s="160"/>
    </row>
    <row r="16" spans="1:19" ht="15">
      <c r="A16" s="176" t="s">
        <v>190</v>
      </c>
      <c r="B16" s="160" t="s">
        <v>191</v>
      </c>
      <c r="C16" s="160"/>
      <c r="D16" s="160"/>
      <c r="E16" s="160"/>
      <c r="F16" s="160"/>
      <c r="G16" s="175">
        <f>+XXXX!J37</f>
        <v>1943.54</v>
      </c>
      <c r="H16" s="160"/>
      <c r="I16" s="160"/>
      <c r="J16" s="160"/>
      <c r="K16" s="177" t="s">
        <v>192</v>
      </c>
      <c r="L16" s="160" t="s">
        <v>193</v>
      </c>
      <c r="M16" s="160"/>
      <c r="N16" s="160"/>
      <c r="O16" s="160"/>
      <c r="P16" s="160"/>
      <c r="Q16" s="160"/>
      <c r="R16" s="175">
        <f>+XXXX!J38</f>
        <v>1457.65</v>
      </c>
      <c r="S16" s="160"/>
    </row>
    <row r="17" spans="1:19" ht="15">
      <c r="A17" s="162" t="s">
        <v>194</v>
      </c>
      <c r="B17" s="162"/>
      <c r="C17" s="162"/>
      <c r="D17" s="178">
        <f>+G13+R13</f>
        <v>97176.92</v>
      </c>
      <c r="E17" s="162"/>
      <c r="F17" s="162" t="s">
        <v>195</v>
      </c>
      <c r="G17" s="162"/>
      <c r="H17" s="162"/>
      <c r="I17" s="162"/>
      <c r="J17" s="178">
        <f>+G14</f>
        <v>0</v>
      </c>
      <c r="K17" s="162" t="s">
        <v>196</v>
      </c>
      <c r="L17" s="162"/>
      <c r="M17" s="162"/>
      <c r="N17" s="179"/>
      <c r="O17" s="179">
        <f>+R16+R15+G15+G16+R14</f>
        <v>19921.27</v>
      </c>
      <c r="P17" s="162"/>
      <c r="Q17" s="162" t="s">
        <v>197</v>
      </c>
      <c r="R17" s="178"/>
      <c r="S17" s="178">
        <f>+D17+J17-O17</f>
        <v>77255.65</v>
      </c>
    </row>
    <row r="18" spans="1:19" ht="15">
      <c r="A18" s="160">
        <v>4</v>
      </c>
      <c r="B18" s="192" t="s">
        <v>214</v>
      </c>
      <c r="C18" s="160"/>
      <c r="D18" s="160"/>
      <c r="E18" s="160" t="s">
        <v>172</v>
      </c>
      <c r="F18" s="160"/>
      <c r="G18" s="160" t="s">
        <v>105</v>
      </c>
      <c r="H18" s="160"/>
      <c r="I18" s="174">
        <v>42660</v>
      </c>
      <c r="J18" s="160"/>
      <c r="K18" s="160" t="s">
        <v>198</v>
      </c>
      <c r="L18" s="160"/>
      <c r="M18" s="175">
        <f>+G20</f>
        <v>60360</v>
      </c>
      <c r="N18" s="160" t="s">
        <v>173</v>
      </c>
      <c r="O18" s="160"/>
      <c r="P18" s="160"/>
      <c r="Q18" s="160" t="s">
        <v>174</v>
      </c>
      <c r="R18" s="160"/>
      <c r="S18" s="160"/>
    </row>
    <row r="19" spans="1:19" ht="15">
      <c r="A19" s="160" t="s">
        <v>175</v>
      </c>
      <c r="B19" s="160"/>
      <c r="C19" s="160" t="s">
        <v>176</v>
      </c>
      <c r="D19" s="160"/>
      <c r="E19" s="180">
        <v>22442</v>
      </c>
      <c r="F19" s="160" t="s">
        <v>199</v>
      </c>
      <c r="G19" s="160"/>
      <c r="H19" s="192"/>
      <c r="I19" s="160"/>
      <c r="J19" s="160"/>
      <c r="K19" s="160"/>
      <c r="L19" s="160" t="s">
        <v>178</v>
      </c>
      <c r="M19" s="160"/>
      <c r="N19" s="194"/>
      <c r="O19" s="160"/>
      <c r="P19" s="192" t="s">
        <v>215</v>
      </c>
      <c r="Q19" s="192"/>
      <c r="R19" s="192"/>
      <c r="S19" s="192"/>
    </row>
    <row r="20" spans="1:19" ht="15">
      <c r="A20" s="176" t="s">
        <v>179</v>
      </c>
      <c r="B20" s="160" t="s">
        <v>180</v>
      </c>
      <c r="C20" s="160"/>
      <c r="D20" s="160"/>
      <c r="E20" s="160"/>
      <c r="F20" s="160"/>
      <c r="G20" s="175">
        <f>+YYYY!H31</f>
        <v>60360</v>
      </c>
      <c r="H20" s="160"/>
      <c r="I20" s="160"/>
      <c r="J20" s="160"/>
      <c r="K20" s="177" t="s">
        <v>181</v>
      </c>
      <c r="L20" s="160" t="s">
        <v>182</v>
      </c>
      <c r="M20" s="160"/>
      <c r="N20" s="160"/>
      <c r="O20" s="160"/>
      <c r="P20" s="160"/>
      <c r="Q20" s="160"/>
      <c r="R20" s="175">
        <f>+YYYY!H32</f>
        <v>1810.8</v>
      </c>
      <c r="S20" s="160"/>
    </row>
    <row r="21" spans="1:19" ht="15">
      <c r="A21" s="176" t="s">
        <v>183</v>
      </c>
      <c r="B21" s="160"/>
      <c r="G21" s="155"/>
      <c r="H21" s="160"/>
      <c r="I21" s="160"/>
      <c r="J21" s="160"/>
      <c r="K21" s="177" t="s">
        <v>184</v>
      </c>
      <c r="L21" s="151" t="s">
        <v>185</v>
      </c>
      <c r="M21" s="160"/>
      <c r="N21" s="160"/>
      <c r="O21" s="160"/>
      <c r="P21" s="160"/>
      <c r="Q21" s="160"/>
      <c r="R21" s="175">
        <f>+YYYY!J34</f>
        <v>6838.79</v>
      </c>
      <c r="S21" s="160"/>
    </row>
    <row r="22" spans="1:19" ht="15">
      <c r="A22" s="176" t="s">
        <v>186</v>
      </c>
      <c r="B22" s="160" t="s">
        <v>187</v>
      </c>
      <c r="C22" s="160"/>
      <c r="D22" s="160"/>
      <c r="E22" s="160"/>
      <c r="F22" s="160"/>
      <c r="G22" s="175">
        <f>+YYYY!J36</f>
        <v>1865.12</v>
      </c>
      <c r="H22" s="160"/>
      <c r="I22" s="160"/>
      <c r="J22" s="160"/>
      <c r="K22" s="177" t="s">
        <v>188</v>
      </c>
      <c r="L22" s="160" t="s">
        <v>189</v>
      </c>
      <c r="M22" s="160"/>
      <c r="N22" s="160"/>
      <c r="O22" s="160"/>
      <c r="P22" s="160"/>
      <c r="Q22" s="160"/>
      <c r="R22" s="175">
        <f>+YYYY!J35</f>
        <v>1865.12</v>
      </c>
      <c r="S22" s="160"/>
    </row>
    <row r="23" spans="1:19" ht="15">
      <c r="A23" s="176" t="s">
        <v>190</v>
      </c>
      <c r="B23" s="160" t="s">
        <v>191</v>
      </c>
      <c r="C23" s="160"/>
      <c r="D23" s="160"/>
      <c r="E23" s="160"/>
      <c r="F23" s="160"/>
      <c r="G23" s="175">
        <f>+YYYY!J37</f>
        <v>1243.42</v>
      </c>
      <c r="H23" s="160"/>
      <c r="I23" s="160"/>
      <c r="J23" s="160"/>
      <c r="K23" s="177" t="s">
        <v>192</v>
      </c>
      <c r="L23" s="160" t="s">
        <v>193</v>
      </c>
      <c r="M23" s="160"/>
      <c r="N23" s="160"/>
      <c r="O23" s="160"/>
      <c r="P23" s="160"/>
      <c r="Q23" s="160"/>
      <c r="R23" s="175">
        <f>+YYYY!J38</f>
        <v>932.56</v>
      </c>
      <c r="S23" s="160"/>
    </row>
    <row r="24" spans="1:19" ht="15">
      <c r="A24" s="162" t="s">
        <v>194</v>
      </c>
      <c r="B24" s="162"/>
      <c r="C24" s="162"/>
      <c r="D24" s="178">
        <f>+G20+R20</f>
        <v>62170.8</v>
      </c>
      <c r="E24" s="162"/>
      <c r="F24" s="162" t="s">
        <v>195</v>
      </c>
      <c r="G24" s="162"/>
      <c r="H24" s="162"/>
      <c r="I24" s="162"/>
      <c r="J24" s="178">
        <f>+G21</f>
        <v>0</v>
      </c>
      <c r="K24" s="162" t="s">
        <v>196</v>
      </c>
      <c r="L24" s="162"/>
      <c r="M24" s="162"/>
      <c r="N24" s="179"/>
      <c r="O24" s="179">
        <f>+R23+R22+G22+G23+R21</f>
        <v>12745.009999999998</v>
      </c>
      <c r="P24" s="162"/>
      <c r="Q24" s="162" t="s">
        <v>197</v>
      </c>
      <c r="R24" s="178"/>
      <c r="S24" s="178">
        <f>+D24+J24-O24</f>
        <v>49425.79000000001</v>
      </c>
    </row>
    <row r="25" spans="1:19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1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1:19" ht="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  <row r="36" spans="1:19" ht="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</row>
    <row r="37" spans="1:19" ht="1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</row>
    <row r="38" spans="1:19" ht="1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</row>
    <row r="39" spans="1:19" ht="1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</row>
    <row r="40" spans="1:19" ht="1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</row>
    <row r="41" spans="1:19" ht="1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</row>
    <row r="42" spans="1:19" ht="1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</row>
    <row r="43" spans="1:19" ht="1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1:19" ht="1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</row>
    <row r="45" spans="1:19" ht="1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</row>
    <row r="46" spans="1:19" ht="1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</row>
    <row r="47" spans="1:19" ht="1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</row>
    <row r="48" spans="1:19" ht="1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1:19" ht="1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</row>
    <row r="50" spans="1:19" ht="1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spans="1:19" ht="15" thickBo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</row>
    <row r="52" spans="1:19" ht="1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82" t="s">
        <v>200</v>
      </c>
      <c r="S52" s="160"/>
    </row>
  </sheetData>
  <sheetProtection/>
  <mergeCells count="1">
    <mergeCell ref="A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V@le</dc:creator>
  <cp:keywords/>
  <dc:description/>
  <cp:lastModifiedBy>Carla L.</cp:lastModifiedBy>
  <cp:lastPrinted>2022-01-27T13:50:05Z</cp:lastPrinted>
  <dcterms:created xsi:type="dcterms:W3CDTF">2013-04-20T21:47:45Z</dcterms:created>
  <dcterms:modified xsi:type="dcterms:W3CDTF">2022-07-27T10:19:53Z</dcterms:modified>
  <cp:category/>
  <cp:version/>
  <cp:contentType/>
  <cp:contentStatus/>
</cp:coreProperties>
</file>